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 tabRatio="788"/>
  </bookViews>
  <sheets>
    <sheet name="Cover Page" sheetId="10" r:id="rId1"/>
    <sheet name="Analysis" sheetId="3" r:id="rId2"/>
    <sheet name="Electric Disturbance Event Data" sheetId="9" r:id="rId3"/>
    <sheet name="Reference" sheetId="7" state="hidden" r:id="rId4"/>
  </sheets>
  <externalReferences>
    <externalReference r:id="rId5"/>
    <externalReference r:id="rId6"/>
    <externalReference r:id="rId7"/>
  </externalReference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P15" i="3" l="1"/>
  <c r="P16" i="3" l="1"/>
  <c r="I34" i="9" l="1"/>
  <c r="K17" i="3" l="1"/>
  <c r="J17" i="3"/>
  <c r="J16" i="3"/>
  <c r="J15" i="3"/>
  <c r="J14" i="3"/>
  <c r="K16" i="3"/>
  <c r="K15" i="3"/>
  <c r="K14" i="3"/>
  <c r="D29" i="3" l="1"/>
  <c r="C60" i="9" l="1"/>
  <c r="K32" i="3" l="1"/>
  <c r="C58" i="9" l="1"/>
  <c r="B58" i="9"/>
  <c r="AD17" i="3" l="1"/>
  <c r="L17" i="3" l="1"/>
  <c r="L16" i="3"/>
  <c r="L15" i="3"/>
  <c r="AD15" i="3"/>
  <c r="L14" i="3"/>
  <c r="AD14" i="3"/>
  <c r="AD16" i="3" l="1"/>
  <c r="P14" i="3" l="1"/>
  <c r="C57" i="9" l="1"/>
  <c r="E52" i="9"/>
  <c r="D52" i="9"/>
  <c r="C52" i="9"/>
  <c r="B52" i="9"/>
  <c r="D9" i="3" l="1"/>
  <c r="U11" i="3" s="1"/>
  <c r="Y17" i="3" l="1"/>
  <c r="Y14" i="3"/>
  <c r="Y15" i="3"/>
  <c r="Y16" i="3"/>
  <c r="D7" i="3"/>
  <c r="S11" i="3" s="1"/>
  <c r="D8" i="3"/>
  <c r="T11" i="3" s="1"/>
  <c r="D5" i="3"/>
  <c r="D6" i="3"/>
  <c r="R11" i="3" s="1"/>
  <c r="X17" i="3" l="1"/>
  <c r="X14" i="3"/>
  <c r="X16" i="3"/>
  <c r="X15" i="3"/>
  <c r="V17" i="3"/>
  <c r="V16" i="3"/>
  <c r="V14" i="3"/>
  <c r="V15" i="3"/>
  <c r="W17" i="3"/>
  <c r="W15" i="3"/>
  <c r="W16" i="3"/>
  <c r="W14" i="3"/>
  <c r="Q17" i="3"/>
  <c r="Q16" i="3"/>
  <c r="Q14" i="3"/>
  <c r="Q15" i="3"/>
  <c r="Q11" i="3"/>
  <c r="E5" i="3"/>
  <c r="Z15" i="3" l="1"/>
  <c r="AA15" i="3" s="1"/>
  <c r="AC15" i="3" s="1"/>
  <c r="Z14" i="3"/>
  <c r="AA14" i="3" s="1"/>
  <c r="AC14" i="3" s="1"/>
  <c r="Z16" i="3"/>
  <c r="AA16" i="3" s="1"/>
  <c r="AC16" i="3" s="1"/>
  <c r="AE16" i="3" s="1"/>
  <c r="Z17" i="3"/>
  <c r="AA17" i="3" s="1"/>
  <c r="AC17" i="3" s="1"/>
  <c r="AE17" i="3" s="1"/>
  <c r="I12" i="7"/>
  <c r="I11" i="7"/>
  <c r="G20" i="7"/>
  <c r="F20" i="7"/>
  <c r="E20" i="7"/>
  <c r="D20" i="7"/>
  <c r="C20" i="7"/>
  <c r="I29" i="7"/>
  <c r="I10" i="7"/>
  <c r="I18" i="7"/>
  <c r="I17" i="7"/>
  <c r="I16" i="7"/>
  <c r="I9" i="7"/>
  <c r="I19" i="7"/>
  <c r="I3" i="7"/>
  <c r="I15" i="7"/>
  <c r="I14" i="7"/>
  <c r="I8" i="7"/>
  <c r="G28" i="7"/>
  <c r="F28" i="7"/>
  <c r="E28" i="7"/>
  <c r="D28" i="7"/>
  <c r="C2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5" i="3" l="1"/>
  <c r="AE14" i="3"/>
  <c r="I20" i="7"/>
  <c r="I28" i="7"/>
  <c r="AF16" i="3" l="1"/>
  <c r="AF15" i="3"/>
  <c r="AF14" i="3"/>
  <c r="AF17" i="3"/>
  <c r="AJ16" i="3" l="1"/>
  <c r="AJ17" i="3"/>
  <c r="AJ14" i="3"/>
  <c r="AK14" i="3"/>
  <c r="AL14" i="3"/>
  <c r="AL15" i="3" s="1"/>
  <c r="AL16" i="3" s="1"/>
  <c r="AL17" i="3" s="1"/>
  <c r="AJ15" i="3"/>
  <c r="AM14" i="3" l="1"/>
  <c r="AN14" i="3"/>
  <c r="AM15" i="3"/>
  <c r="AN15" i="3"/>
  <c r="AM17" i="3"/>
  <c r="AN17" i="3"/>
  <c r="AM16" i="3"/>
  <c r="AN16" i="3"/>
  <c r="AK15" i="3"/>
  <c r="AK16" i="3" l="1"/>
  <c r="AK17" i="3" l="1"/>
</calcChain>
</file>

<file path=xl/sharedStrings.xml><?xml version="1.0" encoding="utf-8"?>
<sst xmlns="http://schemas.openxmlformats.org/spreadsheetml/2006/main" count="195" uniqueCount="171">
  <si>
    <t>Financial</t>
  </si>
  <si>
    <t>Frequency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</si>
  <si>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</si>
  <si>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</si>
  <si>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</si>
  <si>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</si>
  <si>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</si>
  <si>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</si>
  <si>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</si>
  <si>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</si>
  <si>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</si>
  <si>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</si>
  <si>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</si>
  <si>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</si>
  <si>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</si>
  <si>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</si>
  <si>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</si>
  <si>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</si>
  <si>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</si>
  <si>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</si>
  <si>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</si>
  <si>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</si>
  <si>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</si>
  <si>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</si>
  <si>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</si>
  <si>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</si>
  <si>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</si>
  <si>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</si>
  <si>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</si>
  <si>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</si>
  <si>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</si>
  <si>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</si>
  <si>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</si>
  <si>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</si>
  <si>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</si>
  <si>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</si>
  <si>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</si>
  <si>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</si>
  <si>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</si>
  <si>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</si>
  <si>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</si>
  <si>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</si>
  <si>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</si>
  <si>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</si>
  <si>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</si>
  <si>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SDGE - Catastrophic Damage Involving Medium and non-DOT Pipeline Failure</t>
  </si>
  <si>
    <t>SDGE - Cyber Security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</si>
  <si>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</si>
  <si>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</si>
  <si>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</si>
  <si>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</si>
  <si>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</si>
  <si>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</si>
  <si>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</si>
  <si>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</si>
  <si>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</si>
  <si>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SDGE - Workforce Planning</t>
  </si>
  <si>
    <t>SDGE - Workplace Violence</t>
  </si>
  <si>
    <t>B1</t>
  </si>
  <si>
    <t>B2</t>
  </si>
  <si>
    <t>Cost</t>
  </si>
  <si>
    <t>Ordered Cumulative Cost</t>
  </si>
  <si>
    <t>Transmission Planning</t>
  </si>
  <si>
    <t>Operation Planning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</si>
  <si>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</si>
  <si>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</si>
  <si>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</si>
  <si>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</si>
  <si>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</si>
  <si>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</si>
  <si>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</si>
  <si>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</si>
  <si>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</si>
  <si>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Ordered Mitigations</t>
  </si>
  <si>
    <t>New</t>
  </si>
  <si>
    <t>Score Category</t>
  </si>
  <si>
    <t>Risk:</t>
  </si>
  <si>
    <t>• System Impact Studies of Major Outage Events 
• Coordination of transmission protection schemes with neighboring utilities - annual updates to the under-frequency load shedding program within WECC requirements.
• Participate in Inter-Utility Regional Studies and Reliability Councils &amp; Standard Development</t>
  </si>
  <si>
    <t>Description</t>
  </si>
  <si>
    <t>&gt;10 times per year</t>
  </si>
  <si>
    <t>1-10 times per year</t>
  </si>
  <si>
    <t>Once every 1-3 years</t>
  </si>
  <si>
    <t>Once every 3-10 years</t>
  </si>
  <si>
    <t>Once every 10-30 years</t>
  </si>
  <si>
    <t>Once every 30-100 years</t>
  </si>
  <si>
    <t>Once every 100+ years</t>
  </si>
  <si>
    <t>DC</t>
  </si>
  <si>
    <t>WV</t>
  </si>
  <si>
    <t>ME</t>
  </si>
  <si>
    <t>RI</t>
  </si>
  <si>
    <t>VT</t>
  </si>
  <si>
    <t>MI</t>
  </si>
  <si>
    <t>MS</t>
  </si>
  <si>
    <t>MD</t>
  </si>
  <si>
    <t>DE</t>
  </si>
  <si>
    <t>NH</t>
  </si>
  <si>
    <t>LA</t>
  </si>
  <si>
    <t>AR</t>
  </si>
  <si>
    <t>AL</t>
  </si>
  <si>
    <t>VA</t>
  </si>
  <si>
    <t>IN</t>
  </si>
  <si>
    <t>KY</t>
  </si>
  <si>
    <t>CT</t>
  </si>
  <si>
    <t>NC</t>
  </si>
  <si>
    <t>PA</t>
  </si>
  <si>
    <t>SC</t>
  </si>
  <si>
    <t>OH</t>
  </si>
  <si>
    <t>GA</t>
  </si>
  <si>
    <t>WA</t>
  </si>
  <si>
    <t>IL</t>
  </si>
  <si>
    <t>OK</t>
  </si>
  <si>
    <t>TN</t>
  </si>
  <si>
    <t>TX</t>
  </si>
  <si>
    <t>MA</t>
  </si>
  <si>
    <t>NJ</t>
  </si>
  <si>
    <t>MO</t>
  </si>
  <si>
    <t>HI</t>
  </si>
  <si>
    <t>MN</t>
  </si>
  <si>
    <t>NY</t>
  </si>
  <si>
    <t>CA</t>
  </si>
  <si>
    <t>ID</t>
  </si>
  <si>
    <t>FL</t>
  </si>
  <si>
    <t>OR</t>
  </si>
  <si>
    <t>KS</t>
  </si>
  <si>
    <t>IA</t>
  </si>
  <si>
    <t>NE</t>
  </si>
  <si>
    <t>NM</t>
  </si>
  <si>
    <t>AZ</t>
  </si>
  <si>
    <t>WI</t>
  </si>
  <si>
    <t>UT</t>
  </si>
  <si>
    <t>CO</t>
  </si>
  <si>
    <t>NV</t>
  </si>
  <si>
    <t>California</t>
  </si>
  <si>
    <t>California would need to fall by:</t>
  </si>
  <si>
    <t>https://www.eia.gov/electricity/data/disturbance/disturb_events_archive.html</t>
  </si>
  <si>
    <t>P2</t>
  </si>
  <si>
    <t>State</t>
  </si>
  <si>
    <t>Major Disturbance Events, &gt;50,000, per state population</t>
  </si>
  <si>
    <t>Control Levers</t>
  </si>
  <si>
    <t>3rd</t>
  </si>
  <si>
    <t>Not doing these will move the likelihood from a 2 to a (4 or 5):</t>
  </si>
  <si>
    <t>• 10-year transmission plan Studies
• Talega Synchronous Condensers (COMPLETED)
• San Luis Rey Synchronous Condensers
• San Onofre Synchronous Condenser
• Miguel Synchronous Condensers
• Suncrest Static Var Compensator
• TL23071: Sycamore Canyon - Penasquitos 230 kV Line 
• South Orange County Reliability Project 
• Imperial Valley Flow Control Device
• 2nd Miguel to Bay Blvd 230 kV line 
• New Mission - Penasquitos 230 kV Line 
• Artesian East 230 kV Expansion with 69 kV upgrades</t>
  </si>
  <si>
    <t>System Modernization</t>
  </si>
  <si>
    <t xml:space="preserve">• Transmission Energy Management System Modernization Project </t>
  </si>
  <si>
    <t>Not doing B1 and B2 would move california into this quartile, in terms of numbers of blackouts &gt;50,000 customers per person per state (3rd or 4th):</t>
  </si>
  <si>
    <t>Monitoring and Control</t>
  </si>
  <si>
    <t>B3 (P1)</t>
  </si>
  <si>
    <t>Ongoing Transmission Projects/Planning</t>
  </si>
  <si>
    <t>This estimate corresponds to the SME estimate provided in the fail to blackstart risk, that the likelihood of a blackout will be reduced by 10%</t>
  </si>
  <si>
    <t>• Real time operation
• Synchrophasor Project 
 EMS maintenance</t>
  </si>
  <si>
    <t>SDG&amp;E: Not doing this mitigation will increase the blackout likelihood risk from a 2 to 4 over 10 years.</t>
  </si>
  <si>
    <t>Controls</t>
  </si>
  <si>
    <t>Adjusted Baseline</t>
  </si>
  <si>
    <t>Adjustment Factor</t>
  </si>
  <si>
    <t>Capital Cost (2017-2019)</t>
  </si>
  <si>
    <t>OM Cost (2017-2019 average)</t>
  </si>
  <si>
    <t>Life of the Project</t>
  </si>
  <si>
    <t>Rationale</t>
  </si>
  <si>
    <t>Frequency %</t>
  </si>
  <si>
    <t>New Score (for life of project)</t>
  </si>
  <si>
    <t>RSE</t>
  </si>
  <si>
    <t>Ordered Cumulative Score</t>
  </si>
  <si>
    <t>Risk</t>
  </si>
  <si>
    <t xml:space="preserve">Moved from its current location to the worst of the 2nd quartile.  
Industry research of EIA data indicates that if SDG&amp;E were not currently conducting operation planning activities, the likelihood of a blackout would be 112.3% higher.  This result was obtained by identifying the number of major disturbance events (EIA data) affecting more than 50,000 customers, per person, per state.  California was ranked in the 2nd quartile.  A drop of 112.3% would place California at the very bottom of the 2nd quartile. </t>
  </si>
  <si>
    <t>Due to this effort, the risk on the system moves from an N-2 to an N-3, which would require an additional failure to blackout.  Assuming this failure occurs at a 1-10% rate, these efforts reduce the risk by a factor of 10-100.  That is, an N-2 scenario is 10-100 times more likley than an N-3 scenario.  Without these measures, the likelihood score would move from a 2 to a 4.</t>
  </si>
  <si>
    <t>2016 Risk Assessment Mitigation Phase</t>
  </si>
  <si>
    <t>Investigation 16-10-015</t>
  </si>
  <si>
    <t>Risk Spend Efficiency Workpapers to</t>
  </si>
  <si>
    <t>January 2017</t>
  </si>
  <si>
    <t>Major Disturbance to Electrical Service (e.g., Blackout)</t>
  </si>
  <si>
    <t>(Chapter SDG&amp;E-5-WP-RSE)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</si>
</sst>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7" fillId="21" borderId="0" applyNumberFormat="0" applyBorder="0" applyAlignment="0" applyProtection="0"/>
    <xf numFmtId="0" fontId="18" fillId="25" borderId="18" applyNumberFormat="0" applyAlignment="0" applyProtection="0"/>
    <xf numFmtId="0" fontId="19" fillId="18" borderId="19" applyNumberFormat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14" borderId="0" applyNumberFormat="0" applyBorder="0" applyAlignment="0" applyProtection="0"/>
    <xf numFmtId="0" fontId="10" fillId="3" borderId="0" applyNumberFormat="0" applyBorder="0" applyAlignment="0" applyProtection="0"/>
    <xf numFmtId="0" fontId="21" fillId="0" borderId="20" applyNumberFormat="0" applyFill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18" applyNumberFormat="0" applyAlignment="0" applyProtection="0"/>
    <xf numFmtId="0" fontId="25" fillId="0" borderId="23" applyNumberFormat="0" applyFill="0" applyAlignment="0" applyProtection="0"/>
    <xf numFmtId="0" fontId="25" fillId="22" borderId="0" applyNumberFormat="0" applyBorder="0" applyAlignment="0" applyProtection="0"/>
    <xf numFmtId="0" fontId="26" fillId="29" borderId="0"/>
    <xf numFmtId="0" fontId="27" fillId="0" borderId="0"/>
    <xf numFmtId="0" fontId="28" fillId="0" borderId="0"/>
    <xf numFmtId="0" fontId="5" fillId="0" borderId="0"/>
    <xf numFmtId="0" fontId="29" fillId="0" borderId="0"/>
    <xf numFmtId="0" fontId="26" fillId="29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26" fillId="29" borderId="0"/>
    <xf numFmtId="0" fontId="26" fillId="29" borderId="0"/>
    <xf numFmtId="0" fontId="28" fillId="0" borderId="0"/>
    <xf numFmtId="0" fontId="26" fillId="29" borderId="0"/>
    <xf numFmtId="0" fontId="26" fillId="29" borderId="0"/>
    <xf numFmtId="0" fontId="26" fillId="29" borderId="0"/>
    <xf numFmtId="0" fontId="26" fillId="29" borderId="0"/>
    <xf numFmtId="0" fontId="26" fillId="21" borderId="18" applyNumberFormat="0" applyFont="0" applyAlignment="0" applyProtection="0"/>
    <xf numFmtId="0" fontId="1" fillId="4" borderId="17" applyNumberFormat="0" applyFont="0" applyAlignment="0" applyProtection="0"/>
    <xf numFmtId="0" fontId="31" fillId="25" borderId="24" applyNumberFormat="0" applyAlignment="0" applyProtection="0"/>
    <xf numFmtId="4" fontId="26" fillId="30" borderId="18" applyNumberFormat="0" applyProtection="0">
      <alignment vertical="center"/>
    </xf>
    <xf numFmtId="4" fontId="26" fillId="30" borderId="18" applyNumberFormat="0" applyProtection="0">
      <alignment vertical="center"/>
    </xf>
    <xf numFmtId="4" fontId="32" fillId="31" borderId="18" applyNumberFormat="0" applyProtection="0">
      <alignment vertical="center"/>
    </xf>
    <xf numFmtId="4" fontId="26" fillId="31" borderId="18" applyNumberFormat="0" applyProtection="0">
      <alignment horizontal="left" vertical="center" indent="1"/>
    </xf>
    <xf numFmtId="4" fontId="26" fillId="31" borderId="18" applyNumberFormat="0" applyProtection="0">
      <alignment horizontal="left" vertical="center" indent="1"/>
    </xf>
    <xf numFmtId="0" fontId="33" fillId="30" borderId="25" applyNumberFormat="0" applyProtection="0">
      <alignment horizontal="left" vertical="top" indent="1"/>
    </xf>
    <xf numFmtId="4" fontId="26" fillId="32" borderId="18" applyNumberFormat="0" applyProtection="0">
      <alignment horizontal="left" vertical="center" indent="1"/>
    </xf>
    <xf numFmtId="4" fontId="26" fillId="32" borderId="18" applyNumberFormat="0" applyProtection="0">
      <alignment horizontal="left" vertical="center" indent="1"/>
    </xf>
    <xf numFmtId="4" fontId="26" fillId="33" borderId="18" applyNumberFormat="0" applyProtection="0">
      <alignment horizontal="right" vertical="center"/>
    </xf>
    <xf numFmtId="4" fontId="26" fillId="33" borderId="18" applyNumberFormat="0" applyProtection="0">
      <alignment horizontal="right" vertical="center"/>
    </xf>
    <xf numFmtId="4" fontId="26" fillId="34" borderId="18" applyNumberFormat="0" applyProtection="0">
      <alignment horizontal="right" vertical="center"/>
    </xf>
    <xf numFmtId="4" fontId="26" fillId="34" borderId="18" applyNumberFormat="0" applyProtection="0">
      <alignment horizontal="right" vertical="center"/>
    </xf>
    <xf numFmtId="4" fontId="26" fillId="35" borderId="26" applyNumberFormat="0" applyProtection="0">
      <alignment horizontal="right" vertical="center"/>
    </xf>
    <xf numFmtId="4" fontId="26" fillId="35" borderId="26" applyNumberFormat="0" applyProtection="0">
      <alignment horizontal="right" vertical="center"/>
    </xf>
    <xf numFmtId="4" fontId="26" fillId="36" borderId="18" applyNumberFormat="0" applyProtection="0">
      <alignment horizontal="right" vertical="center"/>
    </xf>
    <xf numFmtId="4" fontId="26" fillId="36" borderId="18" applyNumberFormat="0" applyProtection="0">
      <alignment horizontal="right" vertical="center"/>
    </xf>
    <xf numFmtId="4" fontId="26" fillId="37" borderId="18" applyNumberFormat="0" applyProtection="0">
      <alignment horizontal="right" vertical="center"/>
    </xf>
    <xf numFmtId="4" fontId="26" fillId="37" borderId="18" applyNumberFormat="0" applyProtection="0">
      <alignment horizontal="right" vertical="center"/>
    </xf>
    <xf numFmtId="4" fontId="26" fillId="38" borderId="18" applyNumberFormat="0" applyProtection="0">
      <alignment horizontal="right" vertical="center"/>
    </xf>
    <xf numFmtId="4" fontId="26" fillId="38" borderId="18" applyNumberFormat="0" applyProtection="0">
      <alignment horizontal="right" vertical="center"/>
    </xf>
    <xf numFmtId="4" fontId="26" fillId="39" borderId="18" applyNumberFormat="0" applyProtection="0">
      <alignment horizontal="right" vertical="center"/>
    </xf>
    <xf numFmtId="4" fontId="26" fillId="39" borderId="18" applyNumberFormat="0" applyProtection="0">
      <alignment horizontal="right" vertical="center"/>
    </xf>
    <xf numFmtId="4" fontId="26" fillId="40" borderId="18" applyNumberFormat="0" applyProtection="0">
      <alignment horizontal="right" vertical="center"/>
    </xf>
    <xf numFmtId="4" fontId="26" fillId="40" borderId="18" applyNumberFormat="0" applyProtection="0">
      <alignment horizontal="right" vertical="center"/>
    </xf>
    <xf numFmtId="4" fontId="26" fillId="41" borderId="18" applyNumberFormat="0" applyProtection="0">
      <alignment horizontal="right" vertical="center"/>
    </xf>
    <xf numFmtId="4" fontId="26" fillId="41" borderId="18" applyNumberFormat="0" applyProtection="0">
      <alignment horizontal="right" vertical="center"/>
    </xf>
    <xf numFmtId="4" fontId="26" fillId="42" borderId="26" applyNumberFormat="0" applyProtection="0">
      <alignment horizontal="left" vertical="center" indent="1"/>
    </xf>
    <xf numFmtId="4" fontId="26" fillId="42" borderId="26" applyNumberFormat="0" applyProtection="0">
      <alignment horizontal="left" vertical="center" indent="1"/>
    </xf>
    <xf numFmtId="4" fontId="28" fillId="43" borderId="26" applyNumberFormat="0" applyProtection="0">
      <alignment horizontal="left" vertical="center" indent="1"/>
    </xf>
    <xf numFmtId="4" fontId="28" fillId="43" borderId="26" applyNumberFormat="0" applyProtection="0">
      <alignment horizontal="left" vertical="center" indent="1"/>
    </xf>
    <xf numFmtId="4" fontId="26" fillId="44" borderId="18" applyNumberFormat="0" applyProtection="0">
      <alignment horizontal="right" vertical="center"/>
    </xf>
    <xf numFmtId="4" fontId="26" fillId="44" borderId="18" applyNumberFormat="0" applyProtection="0">
      <alignment horizontal="right" vertical="center"/>
    </xf>
    <xf numFmtId="4" fontId="26" fillId="45" borderId="26" applyNumberFormat="0" applyProtection="0">
      <alignment horizontal="left" vertical="center" indent="1"/>
    </xf>
    <xf numFmtId="4" fontId="26" fillId="45" borderId="26" applyNumberFormat="0" applyProtection="0">
      <alignment horizontal="left" vertical="center" indent="1"/>
    </xf>
    <xf numFmtId="4" fontId="26" fillId="44" borderId="26" applyNumberFormat="0" applyProtection="0">
      <alignment horizontal="left" vertical="center" indent="1"/>
    </xf>
    <xf numFmtId="4" fontId="26" fillId="44" borderId="26" applyNumberFormat="0" applyProtection="0">
      <alignment horizontal="left" vertical="center" indent="1"/>
    </xf>
    <xf numFmtId="0" fontId="26" fillId="46" borderId="18" applyNumberFormat="0" applyProtection="0">
      <alignment horizontal="left" vertical="center" indent="1"/>
    </xf>
    <xf numFmtId="0" fontId="26" fillId="46" borderId="18" applyNumberFormat="0" applyProtection="0">
      <alignment horizontal="left" vertical="center" indent="1"/>
    </xf>
    <xf numFmtId="0" fontId="26" fillId="43" borderId="25" applyNumberFormat="0" applyProtection="0">
      <alignment horizontal="left" vertical="top" indent="1"/>
    </xf>
    <xf numFmtId="0" fontId="26" fillId="47" borderId="18" applyNumberFormat="0" applyProtection="0">
      <alignment horizontal="left" vertical="center" indent="1"/>
    </xf>
    <xf numFmtId="0" fontId="26" fillId="47" borderId="18" applyNumberFormat="0" applyProtection="0">
      <alignment horizontal="left" vertical="center" indent="1"/>
    </xf>
    <xf numFmtId="0" fontId="26" fillId="44" borderId="25" applyNumberFormat="0" applyProtection="0">
      <alignment horizontal="left" vertical="top" indent="1"/>
    </xf>
    <xf numFmtId="0" fontId="26" fillId="48" borderId="18" applyNumberFormat="0" applyProtection="0">
      <alignment horizontal="left" vertical="center" indent="1"/>
    </xf>
    <xf numFmtId="0" fontId="26" fillId="48" borderId="18" applyNumberFormat="0" applyProtection="0">
      <alignment horizontal="left" vertical="center" indent="1"/>
    </xf>
    <xf numFmtId="0" fontId="26" fillId="48" borderId="25" applyNumberFormat="0" applyProtection="0">
      <alignment horizontal="left" vertical="top" indent="1"/>
    </xf>
    <xf numFmtId="0" fontId="26" fillId="45" borderId="18" applyNumberFormat="0" applyProtection="0">
      <alignment horizontal="left" vertical="center" indent="1"/>
    </xf>
    <xf numFmtId="0" fontId="26" fillId="45" borderId="18" applyNumberFormat="0" applyProtection="0">
      <alignment horizontal="left" vertical="center" indent="1"/>
    </xf>
    <xf numFmtId="0" fontId="26" fillId="45" borderId="25" applyNumberFormat="0" applyProtection="0">
      <alignment horizontal="left" vertical="top" indent="1"/>
    </xf>
    <xf numFmtId="0" fontId="26" fillId="49" borderId="27" applyNumberFormat="0">
      <protection locked="0"/>
    </xf>
    <xf numFmtId="0" fontId="34" fillId="43" borderId="28" applyBorder="0"/>
    <xf numFmtId="4" fontId="35" fillId="50" borderId="25" applyNumberFormat="0" applyProtection="0">
      <alignment vertical="center"/>
    </xf>
    <xf numFmtId="4" fontId="32" fillId="51" borderId="1" applyNumberFormat="0" applyProtection="0">
      <alignment vertical="center"/>
    </xf>
    <xf numFmtId="4" fontId="35" fillId="46" borderId="25" applyNumberFormat="0" applyProtection="0">
      <alignment horizontal="left" vertical="center" indent="1"/>
    </xf>
    <xf numFmtId="0" fontId="35" fillId="50" borderId="25" applyNumberFormat="0" applyProtection="0">
      <alignment horizontal="left" vertical="top" indent="1"/>
    </xf>
    <xf numFmtId="4" fontId="26" fillId="0" borderId="18" applyNumberFormat="0" applyProtection="0">
      <alignment horizontal="right" vertical="center"/>
    </xf>
    <xf numFmtId="4" fontId="26" fillId="0" borderId="18" applyNumberFormat="0" applyProtection="0">
      <alignment horizontal="right" vertical="center"/>
    </xf>
    <xf numFmtId="4" fontId="32" fillId="52" borderId="18" applyNumberFormat="0" applyProtection="0">
      <alignment horizontal="right" vertical="center"/>
    </xf>
    <xf numFmtId="4" fontId="26" fillId="32" borderId="18" applyNumberFormat="0" applyProtection="0">
      <alignment horizontal="left" vertical="center" indent="1"/>
    </xf>
    <xf numFmtId="4" fontId="26" fillId="32" borderId="18" applyNumberFormat="0" applyProtection="0">
      <alignment horizontal="left" vertical="center" indent="1"/>
    </xf>
    <xf numFmtId="0" fontId="35" fillId="44" borderId="25" applyNumberFormat="0" applyProtection="0">
      <alignment horizontal="left" vertical="top" indent="1"/>
    </xf>
    <xf numFmtId="4" fontId="36" fillId="53" borderId="26" applyNumberFormat="0" applyProtection="0">
      <alignment horizontal="left" vertical="center" indent="1"/>
    </xf>
    <xf numFmtId="0" fontId="26" fillId="54" borderId="1"/>
    <xf numFmtId="0" fontId="26" fillId="54" borderId="1"/>
    <xf numFmtId="4" fontId="37" fillId="49" borderId="18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1" fillId="55" borderId="10">
      <alignment horizontal="center" vertical="center" wrapText="1"/>
    </xf>
    <xf numFmtId="0" fontId="20" fillId="0" borderId="29" applyNumberFormat="0" applyFill="0" applyAlignment="0" applyProtection="0"/>
    <xf numFmtId="0" fontId="39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quotePrefix="1" applyNumberFormat="1" applyFont="1"/>
    <xf numFmtId="0" fontId="2" fillId="0" borderId="0" xfId="0" applyNumberFormat="1" applyFont="1"/>
    <xf numFmtId="0" fontId="0" fillId="0" borderId="0" xfId="0" quotePrefix="1" applyNumberFormat="1"/>
    <xf numFmtId="170" fontId="0" fillId="0" borderId="0" xfId="0" quotePrefix="1" applyNumberFormat="1"/>
    <xf numFmtId="43" fontId="0" fillId="0" borderId="0" xfId="4" quotePrefix="1" applyFont="1"/>
    <xf numFmtId="43" fontId="0" fillId="0" borderId="0" xfId="4" applyFont="1"/>
    <xf numFmtId="165" fontId="0" fillId="0" borderId="1" xfId="4" applyNumberFormat="1" applyFont="1" applyBorder="1"/>
    <xf numFmtId="9" fontId="4" fillId="0" borderId="1" xfId="2" applyFont="1" applyFill="1" applyBorder="1" applyAlignment="1">
      <alignment wrapText="1"/>
    </xf>
    <xf numFmtId="0" fontId="0" fillId="2" borderId="0" xfId="0" quotePrefix="1" applyNumberFormat="1" applyFill="1"/>
    <xf numFmtId="170" fontId="0" fillId="2" borderId="0" xfId="0" quotePrefix="1" applyNumberFormat="1" applyFill="1"/>
    <xf numFmtId="43" fontId="0" fillId="2" borderId="0" xfId="4" quotePrefix="1" applyFont="1" applyFill="1"/>
    <xf numFmtId="43" fontId="0" fillId="2" borderId="0" xfId="4" applyFont="1" applyFill="1"/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2" borderId="0" xfId="0" applyFill="1"/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NumberFormat="1" applyFont="1" applyFill="1"/>
    <xf numFmtId="169" fontId="3" fillId="0" borderId="0" xfId="2" applyNumberFormat="1" applyFont="1" applyFill="1"/>
    <xf numFmtId="164" fontId="3" fillId="0" borderId="1" xfId="1" applyNumberFormat="1" applyFont="1" applyFill="1" applyBorder="1"/>
    <xf numFmtId="0" fontId="4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wrapText="1"/>
    </xf>
    <xf numFmtId="173" fontId="3" fillId="0" borderId="0" xfId="0" applyNumberFormat="1" applyFont="1" applyFill="1"/>
    <xf numFmtId="171" fontId="3" fillId="0" borderId="0" xfId="0" applyNumberFormat="1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0" fontId="3" fillId="0" borderId="0" xfId="0" quotePrefix="1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9" fontId="6" fillId="0" borderId="1" xfId="2" applyFont="1" applyFill="1" applyBorder="1" applyAlignment="1">
      <alignment horizontal="center"/>
    </xf>
    <xf numFmtId="171" fontId="6" fillId="0" borderId="0" xfId="0" applyNumberFormat="1" applyFont="1" applyFill="1"/>
    <xf numFmtId="171" fontId="6" fillId="0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/>
    <xf numFmtId="14" fontId="3" fillId="0" borderId="0" xfId="0" applyNumberFormat="1" applyFont="1" applyFill="1"/>
    <xf numFmtId="2" fontId="3" fillId="0" borderId="1" xfId="0" applyNumberFormat="1" applyFont="1" applyFill="1" applyBorder="1"/>
    <xf numFmtId="173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43" fontId="3" fillId="0" borderId="1" xfId="3" applyFont="1" applyFill="1" applyBorder="1"/>
    <xf numFmtId="0" fontId="3" fillId="0" borderId="1" xfId="3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167" fontId="3" fillId="0" borderId="0" xfId="0" applyNumberFormat="1" applyFont="1" applyFill="1"/>
    <xf numFmtId="168" fontId="3" fillId="0" borderId="1" xfId="0" applyNumberFormat="1" applyFont="1" applyFill="1" applyBorder="1"/>
    <xf numFmtId="170" fontId="3" fillId="0" borderId="1" xfId="0" applyNumberFormat="1" applyFont="1" applyFill="1" applyBorder="1"/>
    <xf numFmtId="168" fontId="3" fillId="0" borderId="0" xfId="0" applyNumberFormat="1" applyFont="1" applyFill="1" applyBorder="1"/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/>
    <xf numFmtId="9" fontId="3" fillId="0" borderId="9" xfId="2" applyFont="1" applyFill="1" applyBorder="1" applyAlignment="1">
      <alignment horizontal="center"/>
    </xf>
    <xf numFmtId="9" fontId="6" fillId="0" borderId="1" xfId="2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3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7" fontId="15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Blackout</a:t>
            </a:r>
            <a:r>
              <a:rPr lang="en-US" baseline="0"/>
              <a:t> - </a:t>
            </a:r>
            <a:r>
              <a:rPr lang="en-US"/>
              <a:t>Risk Spend Efficiency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Benefit Cost Ratio</c:v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Analysis!$AN$14:$AN$17</c:f>
              <c:strCache>
                <c:ptCount val="4"/>
                <c:pt idx="0">
                  <c:v>B2 - Monitoring and Control</c:v>
                </c:pt>
                <c:pt idx="1">
                  <c:v>B1 - Operation Planning</c:v>
                </c:pt>
                <c:pt idx="2">
                  <c:v>B3 (P1) - Ongoing Transmission Projects/Planning</c:v>
                </c:pt>
                <c:pt idx="3">
                  <c:v>P2 - System Modernization</c:v>
                </c:pt>
              </c:strCache>
            </c:strRef>
          </c:cat>
          <c:val>
            <c:numRef>
              <c:f>Analysis!$AM$14:$AM$17</c:f>
              <c:numCache>
                <c:formatCode>General</c:formatCode>
                <c:ptCount val="4"/>
                <c:pt idx="0">
                  <c:v>60.109881873130568</c:v>
                </c:pt>
                <c:pt idx="1">
                  <c:v>48.604619415580139</c:v>
                </c:pt>
                <c:pt idx="2">
                  <c:v>47.161475929951827</c:v>
                </c:pt>
                <c:pt idx="3">
                  <c:v>9.1355734521334409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0C-43E3-99C5-5EFB51DBDE9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0314240"/>
        <c:axId val="91051136"/>
      </c:barChart>
      <c:catAx>
        <c:axId val="903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51136"/>
        <c:crosses val="autoZero"/>
        <c:auto val="1"/>
        <c:lblAlgn val="ctr"/>
        <c:lblOffset val="100"/>
        <c:noMultiLvlLbl val="0"/>
      </c:catAx>
      <c:valAx>
        <c:axId val="91051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031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Major Electric Disturbance Events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(&gt;50,000 customers)
per person, per state, 2002 - May, 2016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 Disturbance Event Data'!$A$2:$A$47</c:f>
              <c:strCache>
                <c:ptCount val="46"/>
                <c:pt idx="0">
                  <c:v>DC</c:v>
                </c:pt>
                <c:pt idx="1">
                  <c:v>WV</c:v>
                </c:pt>
                <c:pt idx="2">
                  <c:v>ME</c:v>
                </c:pt>
                <c:pt idx="3">
                  <c:v>RI</c:v>
                </c:pt>
                <c:pt idx="4">
                  <c:v>VT</c:v>
                </c:pt>
                <c:pt idx="5">
                  <c:v>MI</c:v>
                </c:pt>
                <c:pt idx="6">
                  <c:v>MS</c:v>
                </c:pt>
                <c:pt idx="7">
                  <c:v>MD</c:v>
                </c:pt>
                <c:pt idx="8">
                  <c:v>DE</c:v>
                </c:pt>
                <c:pt idx="9">
                  <c:v>NH</c:v>
                </c:pt>
                <c:pt idx="10">
                  <c:v>LA</c:v>
                </c:pt>
                <c:pt idx="11">
                  <c:v>AR</c:v>
                </c:pt>
                <c:pt idx="12">
                  <c:v>AL</c:v>
                </c:pt>
                <c:pt idx="13">
                  <c:v>VA</c:v>
                </c:pt>
                <c:pt idx="14">
                  <c:v>IN</c:v>
                </c:pt>
                <c:pt idx="15">
                  <c:v>KY</c:v>
                </c:pt>
                <c:pt idx="16">
                  <c:v>CT</c:v>
                </c:pt>
                <c:pt idx="17">
                  <c:v>NC</c:v>
                </c:pt>
                <c:pt idx="18">
                  <c:v>PA</c:v>
                </c:pt>
                <c:pt idx="19">
                  <c:v>SC</c:v>
                </c:pt>
                <c:pt idx="20">
                  <c:v>OH</c:v>
                </c:pt>
                <c:pt idx="21">
                  <c:v>GA</c:v>
                </c:pt>
                <c:pt idx="22">
                  <c:v>WA</c:v>
                </c:pt>
                <c:pt idx="23">
                  <c:v>IL</c:v>
                </c:pt>
                <c:pt idx="24">
                  <c:v>OK</c:v>
                </c:pt>
                <c:pt idx="25">
                  <c:v>TN</c:v>
                </c:pt>
                <c:pt idx="26">
                  <c:v>TX</c:v>
                </c:pt>
                <c:pt idx="27">
                  <c:v>MA</c:v>
                </c:pt>
                <c:pt idx="28">
                  <c:v>NJ</c:v>
                </c:pt>
                <c:pt idx="29">
                  <c:v>MO</c:v>
                </c:pt>
                <c:pt idx="30">
                  <c:v>HI</c:v>
                </c:pt>
                <c:pt idx="31">
                  <c:v>MN</c:v>
                </c:pt>
                <c:pt idx="32">
                  <c:v>NY</c:v>
                </c:pt>
                <c:pt idx="33">
                  <c:v>CA</c:v>
                </c:pt>
                <c:pt idx="34">
                  <c:v>ID</c:v>
                </c:pt>
                <c:pt idx="35">
                  <c:v>FL</c:v>
                </c:pt>
                <c:pt idx="36">
                  <c:v>OR</c:v>
                </c:pt>
                <c:pt idx="37">
                  <c:v>KS</c:v>
                </c:pt>
                <c:pt idx="38">
                  <c:v>IA</c:v>
                </c:pt>
                <c:pt idx="39">
                  <c:v>NE</c:v>
                </c:pt>
                <c:pt idx="40">
                  <c:v>NM</c:v>
                </c:pt>
                <c:pt idx="41">
                  <c:v>AZ</c:v>
                </c:pt>
                <c:pt idx="42">
                  <c:v>WI</c:v>
                </c:pt>
                <c:pt idx="43">
                  <c:v>UT</c:v>
                </c:pt>
                <c:pt idx="44">
                  <c:v>CO</c:v>
                </c:pt>
                <c:pt idx="45">
                  <c:v>NV</c:v>
                </c:pt>
              </c:strCache>
            </c:strRef>
          </c:cat>
          <c:val>
            <c:numRef>
              <c:f>'Electric Disturbance Event Data'!$B$2:$B$47</c:f>
              <c:numCache>
                <c:formatCode>General</c:formatCode>
                <c:ptCount val="46"/>
                <c:pt idx="0">
                  <c:v>1.6363495718714482E-5</c:v>
                </c:pt>
                <c:pt idx="1">
                  <c:v>1.4641066129899877E-5</c:v>
                </c:pt>
                <c:pt idx="2">
                  <c:v>1.4292935979682968E-5</c:v>
                </c:pt>
                <c:pt idx="3">
                  <c:v>1.1360430484579163E-5</c:v>
                </c:pt>
                <c:pt idx="4">
                  <c:v>1.1181358439210149E-5</c:v>
                </c:pt>
                <c:pt idx="5">
                  <c:v>9.8764675624555564E-6</c:v>
                </c:pt>
                <c:pt idx="6">
                  <c:v>9.0230599335033894E-6</c:v>
                </c:pt>
                <c:pt idx="7">
                  <c:v>8.4909415804905464E-6</c:v>
                </c:pt>
                <c:pt idx="8">
                  <c:v>8.4572496601242786E-6</c:v>
                </c:pt>
                <c:pt idx="9">
                  <c:v>8.266897538568834E-6</c:v>
                </c:pt>
                <c:pt idx="10">
                  <c:v>8.1357836600920976E-6</c:v>
                </c:pt>
                <c:pt idx="11">
                  <c:v>8.0585480376763987E-6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60D-46C5-B9F6-09995D79E28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 Disturbance Event Data'!$A$2:$A$47</c:f>
              <c:strCache>
                <c:ptCount val="46"/>
                <c:pt idx="0">
                  <c:v>DC</c:v>
                </c:pt>
                <c:pt idx="1">
                  <c:v>WV</c:v>
                </c:pt>
                <c:pt idx="2">
                  <c:v>ME</c:v>
                </c:pt>
                <c:pt idx="3">
                  <c:v>RI</c:v>
                </c:pt>
                <c:pt idx="4">
                  <c:v>VT</c:v>
                </c:pt>
                <c:pt idx="5">
                  <c:v>MI</c:v>
                </c:pt>
                <c:pt idx="6">
                  <c:v>MS</c:v>
                </c:pt>
                <c:pt idx="7">
                  <c:v>MD</c:v>
                </c:pt>
                <c:pt idx="8">
                  <c:v>DE</c:v>
                </c:pt>
                <c:pt idx="9">
                  <c:v>NH</c:v>
                </c:pt>
                <c:pt idx="10">
                  <c:v>LA</c:v>
                </c:pt>
                <c:pt idx="11">
                  <c:v>AR</c:v>
                </c:pt>
                <c:pt idx="12">
                  <c:v>AL</c:v>
                </c:pt>
                <c:pt idx="13">
                  <c:v>VA</c:v>
                </c:pt>
                <c:pt idx="14">
                  <c:v>IN</c:v>
                </c:pt>
                <c:pt idx="15">
                  <c:v>KY</c:v>
                </c:pt>
                <c:pt idx="16">
                  <c:v>CT</c:v>
                </c:pt>
                <c:pt idx="17">
                  <c:v>NC</c:v>
                </c:pt>
                <c:pt idx="18">
                  <c:v>PA</c:v>
                </c:pt>
                <c:pt idx="19">
                  <c:v>SC</c:v>
                </c:pt>
                <c:pt idx="20">
                  <c:v>OH</c:v>
                </c:pt>
                <c:pt idx="21">
                  <c:v>GA</c:v>
                </c:pt>
                <c:pt idx="22">
                  <c:v>WA</c:v>
                </c:pt>
                <c:pt idx="23">
                  <c:v>IL</c:v>
                </c:pt>
                <c:pt idx="24">
                  <c:v>OK</c:v>
                </c:pt>
                <c:pt idx="25">
                  <c:v>TN</c:v>
                </c:pt>
                <c:pt idx="26">
                  <c:v>TX</c:v>
                </c:pt>
                <c:pt idx="27">
                  <c:v>MA</c:v>
                </c:pt>
                <c:pt idx="28">
                  <c:v>NJ</c:v>
                </c:pt>
                <c:pt idx="29">
                  <c:v>MO</c:v>
                </c:pt>
                <c:pt idx="30">
                  <c:v>HI</c:v>
                </c:pt>
                <c:pt idx="31">
                  <c:v>MN</c:v>
                </c:pt>
                <c:pt idx="32">
                  <c:v>NY</c:v>
                </c:pt>
                <c:pt idx="33">
                  <c:v>CA</c:v>
                </c:pt>
                <c:pt idx="34">
                  <c:v>ID</c:v>
                </c:pt>
                <c:pt idx="35">
                  <c:v>FL</c:v>
                </c:pt>
                <c:pt idx="36">
                  <c:v>OR</c:v>
                </c:pt>
                <c:pt idx="37">
                  <c:v>KS</c:v>
                </c:pt>
                <c:pt idx="38">
                  <c:v>IA</c:v>
                </c:pt>
                <c:pt idx="39">
                  <c:v>NE</c:v>
                </c:pt>
                <c:pt idx="40">
                  <c:v>NM</c:v>
                </c:pt>
                <c:pt idx="41">
                  <c:v>AZ</c:v>
                </c:pt>
                <c:pt idx="42">
                  <c:v>WI</c:v>
                </c:pt>
                <c:pt idx="43">
                  <c:v>UT</c:v>
                </c:pt>
                <c:pt idx="44">
                  <c:v>CO</c:v>
                </c:pt>
                <c:pt idx="45">
                  <c:v>NV</c:v>
                </c:pt>
              </c:strCache>
            </c:strRef>
          </c:cat>
          <c:val>
            <c:numRef>
              <c:f>'Electric Disturbance Event Data'!$C$2:$C$47</c:f>
              <c:numCache>
                <c:formatCode>General</c:formatCode>
                <c:ptCount val="46"/>
                <c:pt idx="12">
                  <c:v>7.2031593468504393E-6</c:v>
                </c:pt>
                <c:pt idx="13">
                  <c:v>7.1573482168003721E-6</c:v>
                </c:pt>
                <c:pt idx="14">
                  <c:v>6.9489763855654657E-6</c:v>
                </c:pt>
                <c:pt idx="15">
                  <c:v>5.8755840556535321E-6</c:v>
                </c:pt>
                <c:pt idx="16">
                  <c:v>5.5696560681681349E-6</c:v>
                </c:pt>
                <c:pt idx="17">
                  <c:v>5.0782640143657118E-6</c:v>
                </c:pt>
                <c:pt idx="18">
                  <c:v>4.8428030050061302E-6</c:v>
                </c:pt>
                <c:pt idx="19">
                  <c:v>4.6975723354654868E-6</c:v>
                </c:pt>
                <c:pt idx="20">
                  <c:v>4.5636846259711712E-6</c:v>
                </c:pt>
                <c:pt idx="21">
                  <c:v>4.2095535327943796E-6</c:v>
                </c:pt>
                <c:pt idx="22">
                  <c:v>4.1838956000898702E-6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60D-46C5-B9F6-09995D79E28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'Electric Disturbance Event Data'!$A$2:$A$47</c:f>
              <c:strCache>
                <c:ptCount val="46"/>
                <c:pt idx="0">
                  <c:v>DC</c:v>
                </c:pt>
                <c:pt idx="1">
                  <c:v>WV</c:v>
                </c:pt>
                <c:pt idx="2">
                  <c:v>ME</c:v>
                </c:pt>
                <c:pt idx="3">
                  <c:v>RI</c:v>
                </c:pt>
                <c:pt idx="4">
                  <c:v>VT</c:v>
                </c:pt>
                <c:pt idx="5">
                  <c:v>MI</c:v>
                </c:pt>
                <c:pt idx="6">
                  <c:v>MS</c:v>
                </c:pt>
                <c:pt idx="7">
                  <c:v>MD</c:v>
                </c:pt>
                <c:pt idx="8">
                  <c:v>DE</c:v>
                </c:pt>
                <c:pt idx="9">
                  <c:v>NH</c:v>
                </c:pt>
                <c:pt idx="10">
                  <c:v>LA</c:v>
                </c:pt>
                <c:pt idx="11">
                  <c:v>AR</c:v>
                </c:pt>
                <c:pt idx="12">
                  <c:v>AL</c:v>
                </c:pt>
                <c:pt idx="13">
                  <c:v>VA</c:v>
                </c:pt>
                <c:pt idx="14">
                  <c:v>IN</c:v>
                </c:pt>
                <c:pt idx="15">
                  <c:v>KY</c:v>
                </c:pt>
                <c:pt idx="16">
                  <c:v>CT</c:v>
                </c:pt>
                <c:pt idx="17">
                  <c:v>NC</c:v>
                </c:pt>
                <c:pt idx="18">
                  <c:v>PA</c:v>
                </c:pt>
                <c:pt idx="19">
                  <c:v>SC</c:v>
                </c:pt>
                <c:pt idx="20">
                  <c:v>OH</c:v>
                </c:pt>
                <c:pt idx="21">
                  <c:v>GA</c:v>
                </c:pt>
                <c:pt idx="22">
                  <c:v>WA</c:v>
                </c:pt>
                <c:pt idx="23">
                  <c:v>IL</c:v>
                </c:pt>
                <c:pt idx="24">
                  <c:v>OK</c:v>
                </c:pt>
                <c:pt idx="25">
                  <c:v>TN</c:v>
                </c:pt>
                <c:pt idx="26">
                  <c:v>TX</c:v>
                </c:pt>
                <c:pt idx="27">
                  <c:v>MA</c:v>
                </c:pt>
                <c:pt idx="28">
                  <c:v>NJ</c:v>
                </c:pt>
                <c:pt idx="29">
                  <c:v>MO</c:v>
                </c:pt>
                <c:pt idx="30">
                  <c:v>HI</c:v>
                </c:pt>
                <c:pt idx="31">
                  <c:v>MN</c:v>
                </c:pt>
                <c:pt idx="32">
                  <c:v>NY</c:v>
                </c:pt>
                <c:pt idx="33">
                  <c:v>CA</c:v>
                </c:pt>
                <c:pt idx="34">
                  <c:v>ID</c:v>
                </c:pt>
                <c:pt idx="35">
                  <c:v>FL</c:v>
                </c:pt>
                <c:pt idx="36">
                  <c:v>OR</c:v>
                </c:pt>
                <c:pt idx="37">
                  <c:v>KS</c:v>
                </c:pt>
                <c:pt idx="38">
                  <c:v>IA</c:v>
                </c:pt>
                <c:pt idx="39">
                  <c:v>NE</c:v>
                </c:pt>
                <c:pt idx="40">
                  <c:v>NM</c:v>
                </c:pt>
                <c:pt idx="41">
                  <c:v>AZ</c:v>
                </c:pt>
                <c:pt idx="42">
                  <c:v>WI</c:v>
                </c:pt>
                <c:pt idx="43">
                  <c:v>UT</c:v>
                </c:pt>
                <c:pt idx="44">
                  <c:v>CO</c:v>
                </c:pt>
                <c:pt idx="45">
                  <c:v>NV</c:v>
                </c:pt>
              </c:strCache>
            </c:strRef>
          </c:cat>
          <c:val>
            <c:numRef>
              <c:f>'Electric Disturbance Event Data'!$D$2:$D$47</c:f>
              <c:numCache>
                <c:formatCode>General</c:formatCode>
                <c:ptCount val="46"/>
                <c:pt idx="23">
                  <c:v>4.1213079787356064E-6</c:v>
                </c:pt>
                <c:pt idx="24">
                  <c:v>3.5793378122780493E-6</c:v>
                </c:pt>
                <c:pt idx="25">
                  <c:v>3.3331823300732283E-6</c:v>
                </c:pt>
                <c:pt idx="26">
                  <c:v>3.2400025716155245E-6</c:v>
                </c:pt>
                <c:pt idx="27">
                  <c:v>3.2379501891404451E-6</c:v>
                </c:pt>
                <c:pt idx="28">
                  <c:v>3.0140612655953948E-6</c:v>
                </c:pt>
                <c:pt idx="29">
                  <c:v>2.7943649822015389E-6</c:v>
                </c:pt>
                <c:pt idx="30">
                  <c:v>2.7940707025620931E-6</c:v>
                </c:pt>
                <c:pt idx="31">
                  <c:v>2.1859540067990457E-6</c:v>
                </c:pt>
                <c:pt idx="32">
                  <c:v>2.0711473464232877E-6</c:v>
                </c:pt>
                <c:pt idx="33">
                  <c:v>1.9415085797563295E-6</c:v>
                </c:pt>
                <c:pt idx="34">
                  <c:v>1.8127654946130653E-6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460D-46C5-B9F6-09995D79E281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'Electric Disturbance Event Data'!$A$2:$A$47</c:f>
              <c:strCache>
                <c:ptCount val="46"/>
                <c:pt idx="0">
                  <c:v>DC</c:v>
                </c:pt>
                <c:pt idx="1">
                  <c:v>WV</c:v>
                </c:pt>
                <c:pt idx="2">
                  <c:v>ME</c:v>
                </c:pt>
                <c:pt idx="3">
                  <c:v>RI</c:v>
                </c:pt>
                <c:pt idx="4">
                  <c:v>VT</c:v>
                </c:pt>
                <c:pt idx="5">
                  <c:v>MI</c:v>
                </c:pt>
                <c:pt idx="6">
                  <c:v>MS</c:v>
                </c:pt>
                <c:pt idx="7">
                  <c:v>MD</c:v>
                </c:pt>
                <c:pt idx="8">
                  <c:v>DE</c:v>
                </c:pt>
                <c:pt idx="9">
                  <c:v>NH</c:v>
                </c:pt>
                <c:pt idx="10">
                  <c:v>LA</c:v>
                </c:pt>
                <c:pt idx="11">
                  <c:v>AR</c:v>
                </c:pt>
                <c:pt idx="12">
                  <c:v>AL</c:v>
                </c:pt>
                <c:pt idx="13">
                  <c:v>VA</c:v>
                </c:pt>
                <c:pt idx="14">
                  <c:v>IN</c:v>
                </c:pt>
                <c:pt idx="15">
                  <c:v>KY</c:v>
                </c:pt>
                <c:pt idx="16">
                  <c:v>CT</c:v>
                </c:pt>
                <c:pt idx="17">
                  <c:v>NC</c:v>
                </c:pt>
                <c:pt idx="18">
                  <c:v>PA</c:v>
                </c:pt>
                <c:pt idx="19">
                  <c:v>SC</c:v>
                </c:pt>
                <c:pt idx="20">
                  <c:v>OH</c:v>
                </c:pt>
                <c:pt idx="21">
                  <c:v>GA</c:v>
                </c:pt>
                <c:pt idx="22">
                  <c:v>WA</c:v>
                </c:pt>
                <c:pt idx="23">
                  <c:v>IL</c:v>
                </c:pt>
                <c:pt idx="24">
                  <c:v>OK</c:v>
                </c:pt>
                <c:pt idx="25">
                  <c:v>TN</c:v>
                </c:pt>
                <c:pt idx="26">
                  <c:v>TX</c:v>
                </c:pt>
                <c:pt idx="27">
                  <c:v>MA</c:v>
                </c:pt>
                <c:pt idx="28">
                  <c:v>NJ</c:v>
                </c:pt>
                <c:pt idx="29">
                  <c:v>MO</c:v>
                </c:pt>
                <c:pt idx="30">
                  <c:v>HI</c:v>
                </c:pt>
                <c:pt idx="31">
                  <c:v>MN</c:v>
                </c:pt>
                <c:pt idx="32">
                  <c:v>NY</c:v>
                </c:pt>
                <c:pt idx="33">
                  <c:v>CA</c:v>
                </c:pt>
                <c:pt idx="34">
                  <c:v>ID</c:v>
                </c:pt>
                <c:pt idx="35">
                  <c:v>FL</c:v>
                </c:pt>
                <c:pt idx="36">
                  <c:v>OR</c:v>
                </c:pt>
                <c:pt idx="37">
                  <c:v>KS</c:v>
                </c:pt>
                <c:pt idx="38">
                  <c:v>IA</c:v>
                </c:pt>
                <c:pt idx="39">
                  <c:v>NE</c:v>
                </c:pt>
                <c:pt idx="40">
                  <c:v>NM</c:v>
                </c:pt>
                <c:pt idx="41">
                  <c:v>AZ</c:v>
                </c:pt>
                <c:pt idx="42">
                  <c:v>WI</c:v>
                </c:pt>
                <c:pt idx="43">
                  <c:v>UT</c:v>
                </c:pt>
                <c:pt idx="44">
                  <c:v>CO</c:v>
                </c:pt>
                <c:pt idx="45">
                  <c:v>NV</c:v>
                </c:pt>
              </c:strCache>
            </c:strRef>
          </c:cat>
          <c:val>
            <c:numRef>
              <c:f>'Electric Disturbance Event Data'!$E$2:$E$47</c:f>
              <c:numCache>
                <c:formatCode>General</c:formatCode>
                <c:ptCount val="46"/>
                <c:pt idx="35">
                  <c:v>1.775912236785141E-6</c:v>
                </c:pt>
                <c:pt idx="36">
                  <c:v>1.7374137405103083E-6</c:v>
                </c:pt>
                <c:pt idx="37">
                  <c:v>1.7172446740515056E-6</c:v>
                </c:pt>
                <c:pt idx="38">
                  <c:v>1.2804511285416077E-6</c:v>
                </c:pt>
                <c:pt idx="39">
                  <c:v>1.0547466234923716E-6</c:v>
                </c:pt>
                <c:pt idx="40">
                  <c:v>9.591824695975126E-7</c:v>
                </c:pt>
                <c:pt idx="41">
                  <c:v>8.7872625699960381E-7</c:v>
                </c:pt>
                <c:pt idx="42">
                  <c:v>8.6635037947012973E-7</c:v>
                </c:pt>
                <c:pt idx="43">
                  <c:v>6.6757479090723084E-7</c:v>
                </c:pt>
                <c:pt idx="44">
                  <c:v>5.4979553104200553E-7</c:v>
                </c:pt>
                <c:pt idx="45">
                  <c:v>3.4591961865821237E-7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60D-46C5-B9F6-09995D79E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5646464"/>
        <c:axId val="95648768"/>
      </c:barChart>
      <c:catAx>
        <c:axId val="95646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48768"/>
        <c:crosses val="autoZero"/>
        <c:auto val="1"/>
        <c:lblAlgn val="ctr"/>
        <c:lblOffset val="100"/>
        <c:noMultiLvlLbl val="0"/>
      </c:catAx>
      <c:valAx>
        <c:axId val="95648768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564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Electric Disturbance Events, &gt;50,000 Customers, All States, 2002-May, 2016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v>Total</c:v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1DF-42EA-9236-1B672B542F3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1DF-42EA-9236-1B672B542F3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1DF-42EA-9236-1B672B542F3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1DF-42EA-9236-1B672B542F3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1DF-42EA-9236-1B672B542F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Asset Failure</c:v>
              </c:pt>
              <c:pt idx="1">
                <c:v>Force of Nature</c:v>
              </c:pt>
              <c:pt idx="2">
                <c:v>Load Shed</c:v>
              </c:pt>
              <c:pt idx="3">
                <c:v>Other</c:v>
              </c:pt>
              <c:pt idx="4">
                <c:v>Vandalism</c:v>
              </c:pt>
            </c:strLit>
          </c:cat>
          <c:val>
            <c:numLit>
              <c:formatCode>General</c:formatCode>
              <c:ptCount val="5"/>
              <c:pt idx="0">
                <c:v>30</c:v>
              </c:pt>
              <c:pt idx="1">
                <c:v>1157</c:v>
              </c:pt>
              <c:pt idx="2">
                <c:v>63</c:v>
              </c:pt>
              <c:pt idx="3">
                <c:v>22</c:v>
              </c:pt>
              <c:pt idx="4">
                <c:v>2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1DF-42EA-9236-1B672B542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 xmlns:c16r2="http://schemas.microsoft.com/office/drawing/2015/06/chart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Electric Disturbance Events, &gt;50,000 Customers, California, 2002-May, 2016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2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v>Total</c:v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0C1-4715-AA36-09DF66B3E45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0C1-4715-AA36-09DF66B3E45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0C1-4715-AA36-09DF66B3E45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0C1-4715-AA36-09DF66B3E45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0C1-4715-AA36-09DF66B3E4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Asset Failure</c:v>
              </c:pt>
              <c:pt idx="1">
                <c:v>Force of Nature</c:v>
              </c:pt>
              <c:pt idx="2">
                <c:v>Load Shed</c:v>
              </c:pt>
              <c:pt idx="3">
                <c:v>Other</c:v>
              </c:pt>
            </c:strLit>
          </c:cat>
          <c:val>
            <c:numLit>
              <c:formatCode>General</c:formatCode>
              <c:ptCount val="4"/>
              <c:pt idx="0">
                <c:v>10</c:v>
              </c:pt>
              <c:pt idx="1">
                <c:v>45</c:v>
              </c:pt>
              <c:pt idx="2">
                <c:v>15</c:v>
              </c:pt>
              <c:pt idx="3">
                <c:v>6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0C1-4715-AA36-09DF66B3E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 xmlns:c16r2="http://schemas.microsoft.com/office/drawing/2015/06/chart"/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3182470</xdr:colOff>
      <xdr:row>25</xdr:row>
      <xdr:rowOff>186018</xdr:rowOff>
    </xdr:from>
    <xdr:to>
      <xdr:col>35</xdr:col>
      <xdr:colOff>16808</xdr:colOff>
      <xdr:row>40</xdr:row>
      <xdr:rowOff>71718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61</xdr:row>
      <xdr:rowOff>33336</xdr:rowOff>
    </xdr:from>
    <xdr:to>
      <xdr:col>4</xdr:col>
      <xdr:colOff>742950</xdr:colOff>
      <xdr:row>103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323850</xdr:colOff>
      <xdr:row>66</xdr:row>
      <xdr:rowOff>38100</xdr:rowOff>
    </xdr:from>
    <xdr:to>
      <xdr:col>13</xdr:col>
      <xdr:colOff>19050</xdr:colOff>
      <xdr:row>80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323850</xdr:colOff>
      <xdr:row>50</xdr:row>
      <xdr:rowOff>133350</xdr:rowOff>
    </xdr:from>
    <xdr:to>
      <xdr:col>13</xdr:col>
      <xdr:colOff>19050</xdr:colOff>
      <xdr:row>65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artwright-smith/SharePoint/33-11%20-%20Documents/05%20Draft%20Project%20Deliverables/Final%20Costs/33-11%20AIS%20Risk%20Mitigations%20-%20Cost%20Ranges%20Update%20v1%20jy%202016-10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mpra\33-05%20RAMP\AIS\33-05%20SEMPRA%20Risk%20Migitation%20Sensitivity%20Report%20v01-00%202016-01-1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 cost ranges"/>
    </sheetNames>
    <sheetDataSet>
      <sheetData sheetId="0">
        <row r="3">
          <cell r="F3">
            <v>106948.58217200005</v>
          </cell>
        </row>
        <row r="22">
          <cell r="F22">
            <v>0</v>
          </cell>
          <cell r="I22">
            <v>1029</v>
          </cell>
        </row>
        <row r="23">
          <cell r="F23">
            <v>12780</v>
          </cell>
          <cell r="I23">
            <v>1575</v>
          </cell>
        </row>
        <row r="24">
          <cell r="F24">
            <v>425064</v>
          </cell>
          <cell r="I24">
            <v>0</v>
          </cell>
        </row>
        <row r="25">
          <cell r="F25">
            <v>14629</v>
          </cell>
          <cell r="I2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Projects"/>
      <sheetName val="Raw Data"/>
      <sheetName val="Answer Inputs"/>
      <sheetName val="Validation"/>
      <sheetName val="Risk Assessment"/>
      <sheetName val="Reference"/>
      <sheetName val="Sensitivity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Z5">
            <v>3</v>
          </cell>
        </row>
      </sheetData>
      <sheetData sheetId="6">
        <row r="15">
          <cell r="G15">
            <v>2344.04209290988</v>
          </cell>
        </row>
      </sheetData>
      <sheetData sheetId="7">
        <row r="5">
          <cell r="D5">
            <v>5.7735026918962602E-2</v>
          </cell>
          <cell r="E5">
            <v>5.7735026918962602E-2</v>
          </cell>
        </row>
        <row r="6">
          <cell r="D6">
            <v>5</v>
          </cell>
          <cell r="E6">
            <v>7</v>
          </cell>
        </row>
        <row r="7">
          <cell r="D7">
            <v>3</v>
          </cell>
          <cell r="E7">
            <v>3</v>
          </cell>
        </row>
        <row r="8">
          <cell r="D8">
            <v>3</v>
          </cell>
          <cell r="E8">
            <v>3</v>
          </cell>
        </row>
        <row r="9">
          <cell r="D9">
            <v>3</v>
          </cell>
          <cell r="E9">
            <v>3</v>
          </cell>
        </row>
        <row r="12">
          <cell r="D12">
            <v>0.57735026918962595</v>
          </cell>
          <cell r="E12">
            <v>5.7735026918962602E-2</v>
          </cell>
        </row>
        <row r="13">
          <cell r="D13">
            <v>7</v>
          </cell>
          <cell r="E13">
            <v>7</v>
          </cell>
        </row>
        <row r="14">
          <cell r="D14">
            <v>6</v>
          </cell>
          <cell r="E14">
            <v>6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21">
          <cell r="D21">
            <v>0</v>
          </cell>
        </row>
        <row r="22">
          <cell r="D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103" customWidth="1"/>
  </cols>
  <sheetData>
    <row r="1" spans="1:1" ht="34.5" x14ac:dyDescent="0.25">
      <c r="A1" s="97"/>
    </row>
    <row r="2" spans="1:1" ht="34.5" x14ac:dyDescent="0.25">
      <c r="A2" s="97"/>
    </row>
    <row r="3" spans="1:1" ht="34.5" x14ac:dyDescent="0.25">
      <c r="A3" s="98" t="s">
        <v>165</v>
      </c>
    </row>
    <row r="4" spans="1:1" ht="6" customHeight="1" x14ac:dyDescent="0.25">
      <c r="A4" s="98"/>
    </row>
    <row r="5" spans="1:1" ht="34.5" x14ac:dyDescent="0.25">
      <c r="A5" s="99" t="s">
        <v>166</v>
      </c>
    </row>
    <row r="6" spans="1:1" ht="6" customHeight="1" x14ac:dyDescent="0.25">
      <c r="A6" s="98"/>
    </row>
    <row r="7" spans="1:1" ht="34.5" x14ac:dyDescent="0.25">
      <c r="A7" s="98" t="s">
        <v>167</v>
      </c>
    </row>
    <row r="8" spans="1:1" ht="6" customHeight="1" x14ac:dyDescent="0.25">
      <c r="A8" s="98"/>
    </row>
    <row r="9" spans="1:1" ht="69" x14ac:dyDescent="0.25">
      <c r="A9" s="100" t="s">
        <v>169</v>
      </c>
    </row>
    <row r="10" spans="1:1" ht="6" customHeight="1" x14ac:dyDescent="0.25">
      <c r="A10" s="98"/>
    </row>
    <row r="11" spans="1:1" ht="34.5" x14ac:dyDescent="0.25">
      <c r="A11" s="98" t="s">
        <v>170</v>
      </c>
    </row>
    <row r="12" spans="1:1" ht="31.5" customHeight="1" x14ac:dyDescent="0.25">
      <c r="A12" s="101"/>
    </row>
    <row r="13" spans="1:1" ht="18.75" x14ac:dyDescent="0.25">
      <c r="A13" s="102" t="s">
        <v>168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34"/>
  <sheetViews>
    <sheetView zoomScale="85" zoomScaleNormal="85" workbookViewId="0">
      <selection activeCell="H4" sqref="H4"/>
    </sheetView>
  </sheetViews>
  <sheetFormatPr defaultRowHeight="15" x14ac:dyDescent="0.25"/>
  <cols>
    <col min="1" max="1" width="5.7109375" style="26" customWidth="1"/>
    <col min="2" max="2" width="14.85546875" style="26" customWidth="1"/>
    <col min="3" max="3" width="28.28515625" style="26" customWidth="1"/>
    <col min="4" max="4" width="11.7109375" style="26" bestFit="1" customWidth="1"/>
    <col min="5" max="5" width="23" style="26" bestFit="1" customWidth="1"/>
    <col min="6" max="6" width="10.7109375" style="26" bestFit="1" customWidth="1"/>
    <col min="7" max="7" width="8.5703125" style="26" bestFit="1" customWidth="1"/>
    <col min="8" max="8" width="18.140625" style="33" customWidth="1"/>
    <col min="9" max="9" width="58.28515625" style="26" customWidth="1"/>
    <col min="10" max="10" width="12.7109375" style="26" customWidth="1"/>
    <col min="11" max="11" width="11" style="26" customWidth="1"/>
    <col min="12" max="12" width="11.5703125" style="26" hidden="1" customWidth="1"/>
    <col min="13" max="13" width="8.42578125" style="26" customWidth="1"/>
    <col min="14" max="14" width="12.85546875" style="26" bestFit="1" customWidth="1"/>
    <col min="15" max="15" width="73.5703125" style="33" customWidth="1"/>
    <col min="16" max="16" width="13.85546875" style="26" bestFit="1" customWidth="1"/>
    <col min="17" max="17" width="10.28515625" style="34" customWidth="1"/>
    <col min="18" max="18" width="5.140625" style="26" hidden="1" customWidth="1"/>
    <col min="19" max="20" width="6.5703125" style="26" hidden="1" customWidth="1"/>
    <col min="21" max="21" width="5" style="26" hidden="1" customWidth="1"/>
    <col min="22" max="22" width="8.85546875" style="26" hidden="1" customWidth="1"/>
    <col min="23" max="23" width="11.28515625" style="26" hidden="1" customWidth="1"/>
    <col min="24" max="24" width="13.7109375" style="26" hidden="1" customWidth="1"/>
    <col min="25" max="25" width="11.42578125" style="26" hidden="1" customWidth="1"/>
    <col min="26" max="26" width="9.7109375" style="26" hidden="1" customWidth="1"/>
    <col min="27" max="28" width="12.85546875" style="26" hidden="1" customWidth="1"/>
    <col min="29" max="29" width="11.85546875" style="26" customWidth="1"/>
    <col min="30" max="30" width="11.85546875" style="26" bestFit="1" customWidth="1"/>
    <col min="31" max="31" width="8.28515625" style="35" customWidth="1"/>
    <col min="32" max="32" width="5.28515625" style="26" bestFit="1" customWidth="1"/>
    <col min="33" max="33" width="8" style="26" bestFit="1" customWidth="1"/>
    <col min="34" max="36" width="4.7109375" style="26" customWidth="1"/>
    <col min="37" max="37" width="20.28515625" style="26" customWidth="1"/>
    <col min="38" max="38" width="15.140625" style="26" customWidth="1"/>
    <col min="39" max="39" width="15.5703125" style="26" customWidth="1"/>
    <col min="40" max="40" width="14.42578125" style="26" customWidth="1"/>
    <col min="41" max="41" width="33.28515625" style="26" bestFit="1" customWidth="1"/>
    <col min="42" max="42" width="17.7109375" style="26" bestFit="1" customWidth="1"/>
    <col min="43" max="43" width="42.28515625" style="26" bestFit="1" customWidth="1"/>
    <col min="44" max="44" width="23.42578125" style="26" bestFit="1" customWidth="1"/>
    <col min="45" max="45" width="31.140625" style="26" bestFit="1" customWidth="1"/>
    <col min="46" max="46" width="47.140625" style="26" bestFit="1" customWidth="1"/>
    <col min="47" max="47" width="12" style="26" bestFit="1" customWidth="1"/>
    <col min="48" max="16384" width="9.140625" style="26"/>
  </cols>
  <sheetData>
    <row r="1" spans="1:44" ht="21.75" thickBot="1" x14ac:dyDescent="0.4">
      <c r="B1" s="32" t="s">
        <v>76</v>
      </c>
      <c r="C1" s="79" t="s">
        <v>51</v>
      </c>
      <c r="D1" s="80"/>
      <c r="E1" s="80"/>
      <c r="F1" s="80"/>
      <c r="G1" s="80"/>
      <c r="H1" s="81"/>
    </row>
    <row r="3" spans="1:44" ht="21" x14ac:dyDescent="0.35">
      <c r="B3" s="82" t="s">
        <v>2</v>
      </c>
      <c r="C3" s="82"/>
      <c r="D3" s="82"/>
      <c r="E3" s="82"/>
    </row>
    <row r="4" spans="1:44" ht="37.5" x14ac:dyDescent="0.3">
      <c r="B4" s="36" t="s">
        <v>153</v>
      </c>
      <c r="C4" s="37" t="s">
        <v>75</v>
      </c>
      <c r="D4" s="38" t="s">
        <v>3</v>
      </c>
      <c r="E4" s="39" t="s">
        <v>4</v>
      </c>
    </row>
    <row r="5" spans="1:44" x14ac:dyDescent="0.25">
      <c r="A5" s="83"/>
      <c r="B5" s="84">
        <v>1</v>
      </c>
      <c r="C5" s="40" t="s">
        <v>1</v>
      </c>
      <c r="D5" s="41">
        <f>INDEX(Reference!$C:$G,MATCH($C$1,Reference!$B:$B,0),ROW()-ROW($B$4))</f>
        <v>1.8257418583505498E-2</v>
      </c>
      <c r="E5" s="87">
        <f>D5*(0.4*10^D6+0.2*10^D7+0.2*10^D8+0.2*10^D9)</f>
        <v>44548.101343753413</v>
      </c>
      <c r="J5" s="42"/>
    </row>
    <row r="6" spans="1:44" x14ac:dyDescent="0.25">
      <c r="A6" s="83"/>
      <c r="B6" s="85"/>
      <c r="C6" s="40" t="s">
        <v>5</v>
      </c>
      <c r="D6" s="43">
        <f>INDEX(Reference!$C:$G,MATCH($C$1,Reference!$B:$B,0),ROW()-ROW($B$4))</f>
        <v>6</v>
      </c>
      <c r="E6" s="88"/>
    </row>
    <row r="7" spans="1:44" x14ac:dyDescent="0.25">
      <c r="A7" s="83"/>
      <c r="B7" s="85"/>
      <c r="C7" s="40" t="s">
        <v>6</v>
      </c>
      <c r="D7" s="43">
        <f>INDEX(Reference!$C:$G,MATCH($C$1,Reference!$B:$B,0),ROW()-ROW($B$4))</f>
        <v>7</v>
      </c>
      <c r="E7" s="88"/>
    </row>
    <row r="8" spans="1:44" x14ac:dyDescent="0.25">
      <c r="A8" s="83"/>
      <c r="B8" s="85"/>
      <c r="C8" s="40" t="s">
        <v>7</v>
      </c>
      <c r="D8" s="43">
        <f>INDEX(Reference!$C:$G,MATCH($C$1,Reference!$B:$B,0),ROW()-ROW($B$4))</f>
        <v>5</v>
      </c>
      <c r="E8" s="88"/>
    </row>
    <row r="9" spans="1:44" x14ac:dyDescent="0.25">
      <c r="A9" s="83"/>
      <c r="B9" s="86"/>
      <c r="C9" s="40" t="s">
        <v>8</v>
      </c>
      <c r="D9" s="43">
        <f>INDEX(Reference!$C:$G,MATCH($C$1,Reference!$B:$B,0),ROW()-ROW($B$4))</f>
        <v>5</v>
      </c>
      <c r="E9" s="89"/>
    </row>
    <row r="10" spans="1:44" x14ac:dyDescent="0.25">
      <c r="AD10" s="35"/>
      <c r="AE10" s="26"/>
    </row>
    <row r="11" spans="1:44" x14ac:dyDescent="0.25">
      <c r="P11" s="26" t="s">
        <v>64</v>
      </c>
      <c r="Q11" s="34">
        <f>D5</f>
        <v>1.8257418583505498E-2</v>
      </c>
      <c r="R11" s="26">
        <f>D6</f>
        <v>6</v>
      </c>
      <c r="S11" s="26">
        <f>D7</f>
        <v>7</v>
      </c>
      <c r="T11" s="26">
        <f>D8</f>
        <v>5</v>
      </c>
      <c r="U11" s="26">
        <f>D9</f>
        <v>5</v>
      </c>
      <c r="V11" s="44"/>
      <c r="AD11" s="35"/>
      <c r="AE11" s="26"/>
    </row>
    <row r="12" spans="1:44" x14ac:dyDescent="0.25">
      <c r="G12" s="25"/>
      <c r="H12" s="25"/>
      <c r="I12" s="45"/>
      <c r="J12" s="78" t="s">
        <v>9</v>
      </c>
      <c r="K12" s="78"/>
      <c r="L12" s="46"/>
      <c r="M12" s="25"/>
      <c r="N12" s="25"/>
      <c r="O12" s="25"/>
      <c r="P12" s="25"/>
      <c r="Q12" s="47"/>
      <c r="R12" s="48">
        <v>0.4</v>
      </c>
      <c r="S12" s="48">
        <v>0.2</v>
      </c>
      <c r="T12" s="48">
        <v>0.2</v>
      </c>
      <c r="U12" s="48">
        <v>0.2</v>
      </c>
      <c r="V12" s="77" t="s">
        <v>67</v>
      </c>
      <c r="W12" s="77"/>
      <c r="X12" s="77"/>
      <c r="Y12" s="77"/>
      <c r="Z12" s="25"/>
      <c r="AA12" s="25"/>
      <c r="AB12" s="25"/>
      <c r="AC12" s="25"/>
      <c r="AD12" s="49"/>
      <c r="AE12" s="25"/>
      <c r="AF12" s="25"/>
      <c r="AG12" s="25"/>
      <c r="AH12" s="25"/>
      <c r="AI12" s="25"/>
      <c r="AJ12" s="25" t="s">
        <v>73</v>
      </c>
      <c r="AK12" s="26" t="s">
        <v>161</v>
      </c>
      <c r="AL12" s="26" t="s">
        <v>61</v>
      </c>
      <c r="AM12" s="25" t="s">
        <v>160</v>
      </c>
      <c r="AN12" s="25" t="s">
        <v>162</v>
      </c>
    </row>
    <row r="13" spans="1:44" s="33" customFormat="1" ht="45" x14ac:dyDescent="0.25">
      <c r="C13" s="39" t="s">
        <v>151</v>
      </c>
      <c r="D13" s="24" t="s">
        <v>10</v>
      </c>
      <c r="G13" s="39" t="s">
        <v>11</v>
      </c>
      <c r="H13" s="39" t="s">
        <v>12</v>
      </c>
      <c r="I13" s="39" t="s">
        <v>78</v>
      </c>
      <c r="J13" s="24" t="s">
        <v>154</v>
      </c>
      <c r="K13" s="24" t="s">
        <v>155</v>
      </c>
      <c r="L13" s="24" t="s">
        <v>13</v>
      </c>
      <c r="M13" s="39" t="s">
        <v>14</v>
      </c>
      <c r="N13" s="24" t="s">
        <v>156</v>
      </c>
      <c r="O13" s="24" t="s">
        <v>157</v>
      </c>
      <c r="P13" s="39" t="s">
        <v>158</v>
      </c>
      <c r="Q13" s="39" t="s">
        <v>65</v>
      </c>
      <c r="R13" s="39" t="s">
        <v>15</v>
      </c>
      <c r="S13" s="39" t="s">
        <v>16</v>
      </c>
      <c r="T13" s="39" t="s">
        <v>17</v>
      </c>
      <c r="U13" s="39" t="s">
        <v>0</v>
      </c>
      <c r="V13" s="39" t="s">
        <v>15</v>
      </c>
      <c r="W13" s="39" t="s">
        <v>16</v>
      </c>
      <c r="X13" s="39" t="s">
        <v>17</v>
      </c>
      <c r="Y13" s="39" t="s">
        <v>0</v>
      </c>
      <c r="Z13" s="39" t="s">
        <v>66</v>
      </c>
      <c r="AA13" s="39" t="s">
        <v>159</v>
      </c>
      <c r="AB13" s="39" t="s">
        <v>69</v>
      </c>
      <c r="AC13" s="39" t="str">
        <f>IF(D17=1,"Calibrated, ","")&amp;"Weighted New Score"</f>
        <v>Calibrated, Weighted New Score</v>
      </c>
      <c r="AD13" s="50" t="s">
        <v>60</v>
      </c>
      <c r="AE13" s="39" t="s">
        <v>160</v>
      </c>
      <c r="AF13" s="39" t="s">
        <v>68</v>
      </c>
      <c r="AG13" s="39"/>
      <c r="AH13" s="39"/>
      <c r="AI13" s="39"/>
      <c r="AJ13" s="51"/>
      <c r="AK13" s="33">
        <v>0</v>
      </c>
      <c r="AL13" s="33">
        <v>0</v>
      </c>
    </row>
    <row r="14" spans="1:44" ht="105" x14ac:dyDescent="0.25">
      <c r="C14" s="52" t="s">
        <v>152</v>
      </c>
      <c r="D14" s="52">
        <v>0</v>
      </c>
      <c r="F14" s="53">
        <v>42660</v>
      </c>
      <c r="G14" s="52" t="s">
        <v>58</v>
      </c>
      <c r="H14" s="23" t="s">
        <v>63</v>
      </c>
      <c r="I14" s="23" t="s">
        <v>77</v>
      </c>
      <c r="J14" s="30">
        <f>-'[1]Revised cost ranges'!F22</f>
        <v>0</v>
      </c>
      <c r="K14" s="30">
        <f>-'[1]Revised cost ranges'!I22</f>
        <v>-1029</v>
      </c>
      <c r="L14" s="30">
        <f t="shared" ref="L14:L15" si="0">(0.08*J14)/(1-(1+0.08)^-N14)</f>
        <v>0</v>
      </c>
      <c r="M14" s="52" t="s">
        <v>18</v>
      </c>
      <c r="N14" s="52">
        <v>1</v>
      </c>
      <c r="O14" s="23" t="s">
        <v>163</v>
      </c>
      <c r="P14" s="54">
        <f>'Electric Disturbance Event Data'!$C$60*100</f>
        <v>-112.27000000000001</v>
      </c>
      <c r="Q14" s="55">
        <f>$D$5*(1-($P14/100))</f>
        <v>3.8755022427207124E-2</v>
      </c>
      <c r="R14" s="43">
        <v>0</v>
      </c>
      <c r="S14" s="43">
        <v>0</v>
      </c>
      <c r="T14" s="43">
        <v>0</v>
      </c>
      <c r="U14" s="43">
        <v>0</v>
      </c>
      <c r="V14" s="56">
        <f t="shared" ref="V14:Y16" si="1">(R$12)* ((10^R$11)*(1-(R14/100)))</f>
        <v>400000</v>
      </c>
      <c r="W14" s="56">
        <f t="shared" si="1"/>
        <v>2000000</v>
      </c>
      <c r="X14" s="56">
        <f t="shared" si="1"/>
        <v>20000</v>
      </c>
      <c r="Y14" s="56">
        <f t="shared" si="1"/>
        <v>20000</v>
      </c>
      <c r="Z14" s="57">
        <f t="shared" ref="Z14:Z15" si="2">Q14*SUM(V14:Y14)</f>
        <v>94562.254722385376</v>
      </c>
      <c r="AA14" s="57">
        <f>($E$5-Z14)*N14</f>
        <v>-50014.153378631963</v>
      </c>
      <c r="AB14" s="58"/>
      <c r="AC14" s="59">
        <f>IF($D$15=1,AA14*AB14*IF($D$17=1,$B$5,1),AA14*IF($D$17=1,$B$5,1))</f>
        <v>-50014.153378631963</v>
      </c>
      <c r="AD14" s="60">
        <f>J14+K14*N14</f>
        <v>-1029</v>
      </c>
      <c r="AE14" s="61">
        <f t="shared" ref="AE14:AE15" si="3">AC14/AD14</f>
        <v>48.604619415580139</v>
      </c>
      <c r="AF14" s="62">
        <f>RANK(AE14,$AE$14:$AE$17)</f>
        <v>2</v>
      </c>
      <c r="AG14" s="63"/>
      <c r="AH14" s="52"/>
      <c r="AI14" s="52"/>
      <c r="AJ14" s="64" t="str">
        <f>INDEX($G$14:$G$17,MATCH(ROW()-ROW($AK$13),$AF$14:$AF$17,0))</f>
        <v>B2</v>
      </c>
      <c r="AK14" s="65">
        <f t="shared" ref="AK14:AL17" si="4">IF(INDEX($M$14:$M$17,MATCH(ROW()-ROW($AK$13),$AF$14:$AF$17,0))="new",1,-1)*INDEX(AC$14:AC$17,MATCH(ROW()-ROW($AK$13),$AF$14:$AF$17,0))+AK13</f>
        <v>3608396.2088440279</v>
      </c>
      <c r="AL14" s="65">
        <f t="shared" si="4"/>
        <v>60030</v>
      </c>
      <c r="AM14" s="26">
        <f>INDEX(AE:AE,MATCH(AJ14,G:G,0))</f>
        <v>60.109881873130568</v>
      </c>
      <c r="AN14" s="26" t="str">
        <f>AJ14&amp;" - "&amp;INDEX(H:H,MATCH(AJ14,G:G,0))</f>
        <v>B2 - Monitoring and Control</v>
      </c>
      <c r="AQ14" s="66"/>
      <c r="AR14" s="66"/>
    </row>
    <row r="15" spans="1:44" ht="45" x14ac:dyDescent="0.25">
      <c r="C15" s="52" t="s">
        <v>19</v>
      </c>
      <c r="D15" s="52">
        <v>0</v>
      </c>
      <c r="F15" s="53">
        <v>42660</v>
      </c>
      <c r="G15" s="52" t="s">
        <v>59</v>
      </c>
      <c r="H15" s="23" t="s">
        <v>145</v>
      </c>
      <c r="I15" s="23" t="s">
        <v>149</v>
      </c>
      <c r="J15" s="30">
        <f>-'[1]Revised cost ranges'!F23</f>
        <v>-12780</v>
      </c>
      <c r="K15" s="30">
        <f>-'[1]Revised cost ranges'!I23</f>
        <v>-1575</v>
      </c>
      <c r="L15" s="30">
        <f t="shared" si="0"/>
        <v>-1135.2145986893395</v>
      </c>
      <c r="M15" s="52" t="s">
        <v>18</v>
      </c>
      <c r="N15" s="52">
        <v>30</v>
      </c>
      <c r="O15" s="23" t="s">
        <v>150</v>
      </c>
      <c r="P15" s="54">
        <f>(D28-D26)/D28*100*0.3</f>
        <v>-270.00000000000006</v>
      </c>
      <c r="Q15" s="55">
        <f>$D$5*(1-($P15/100))</f>
        <v>6.755244875897036E-2</v>
      </c>
      <c r="R15" s="43">
        <v>0</v>
      </c>
      <c r="S15" s="43">
        <v>0</v>
      </c>
      <c r="T15" s="43">
        <v>0</v>
      </c>
      <c r="U15" s="43">
        <v>0</v>
      </c>
      <c r="V15" s="56">
        <f t="shared" si="1"/>
        <v>400000</v>
      </c>
      <c r="W15" s="56">
        <f t="shared" si="1"/>
        <v>2000000</v>
      </c>
      <c r="X15" s="56">
        <f t="shared" si="1"/>
        <v>20000</v>
      </c>
      <c r="Y15" s="56">
        <f t="shared" si="1"/>
        <v>20000</v>
      </c>
      <c r="Z15" s="57">
        <f t="shared" si="2"/>
        <v>164827.97497188768</v>
      </c>
      <c r="AA15" s="57">
        <f>($E$5-Z15)*N15</f>
        <v>-3608396.2088440279</v>
      </c>
      <c r="AB15" s="58"/>
      <c r="AC15" s="59">
        <f>IF($D$15=1,AA15*AB15*IF($D$17=1,$B$5,1),AA15*IF($D$17=1,$B$5,1))</f>
        <v>-3608396.2088440279</v>
      </c>
      <c r="AD15" s="60">
        <f>J15+K15*N15</f>
        <v>-60030</v>
      </c>
      <c r="AE15" s="61">
        <f t="shared" si="3"/>
        <v>60.109881873130568</v>
      </c>
      <c r="AF15" s="62">
        <f>RANK(AE15,$AE$14:$AE$17)</f>
        <v>1</v>
      </c>
      <c r="AG15" s="63"/>
      <c r="AH15" s="61"/>
      <c r="AI15" s="67"/>
      <c r="AJ15" s="64" t="str">
        <f>INDEX($G$14:$G$17,MATCH(ROW()-ROW($AK$13),$AF$14:$AF$17,0))</f>
        <v>B1</v>
      </c>
      <c r="AK15" s="65">
        <f t="shared" si="4"/>
        <v>3658410.3622226599</v>
      </c>
      <c r="AL15" s="65">
        <f t="shared" si="4"/>
        <v>61059</v>
      </c>
      <c r="AM15" s="26">
        <f>INDEX(AE:AE,MATCH(AJ15,G:G,0))</f>
        <v>48.604619415580139</v>
      </c>
      <c r="AN15" s="26" t="str">
        <f>AJ15&amp;" - "&amp;INDEX(H:H,MATCH(AJ15,G:G,0))</f>
        <v>B1 - Operation Planning</v>
      </c>
      <c r="AQ15" s="66"/>
      <c r="AR15" s="66"/>
    </row>
    <row r="16" spans="1:44" ht="180" x14ac:dyDescent="0.25">
      <c r="C16" s="52" t="s">
        <v>20</v>
      </c>
      <c r="D16" s="52">
        <v>0</v>
      </c>
      <c r="F16" s="53">
        <v>42660</v>
      </c>
      <c r="G16" s="52" t="s">
        <v>146</v>
      </c>
      <c r="H16" s="23" t="s">
        <v>147</v>
      </c>
      <c r="I16" s="23" t="s">
        <v>141</v>
      </c>
      <c r="J16" s="30">
        <f>-'[1]Revised cost ranges'!F24</f>
        <v>-425064</v>
      </c>
      <c r="K16" s="30">
        <f>-'[1]Revised cost ranges'!I24</f>
        <v>0</v>
      </c>
      <c r="L16" s="30">
        <f>(0.08*J16)/(1-(1+0.08)^-N16)</f>
        <v>-34745.946261608959</v>
      </c>
      <c r="M16" s="52" t="s">
        <v>18</v>
      </c>
      <c r="N16" s="52">
        <v>50</v>
      </c>
      <c r="O16" s="23" t="s">
        <v>164</v>
      </c>
      <c r="P16" s="54">
        <f>(D28-D26)/D28*100</f>
        <v>-900.00000000000023</v>
      </c>
      <c r="Q16" s="68">
        <f>$D$5*(1-($P16/100))</f>
        <v>0.18257418583505503</v>
      </c>
      <c r="R16" s="52">
        <v>0</v>
      </c>
      <c r="S16" s="43">
        <v>0</v>
      </c>
      <c r="T16" s="43">
        <v>0</v>
      </c>
      <c r="U16" s="43">
        <v>0</v>
      </c>
      <c r="V16" s="56">
        <f t="shared" si="1"/>
        <v>400000</v>
      </c>
      <c r="W16" s="56">
        <f t="shared" si="1"/>
        <v>2000000</v>
      </c>
      <c r="X16" s="56">
        <f t="shared" si="1"/>
        <v>20000</v>
      </c>
      <c r="Y16" s="56">
        <f t="shared" si="1"/>
        <v>20000</v>
      </c>
      <c r="Z16" s="57">
        <f>Q16*SUM(V16:Y16)</f>
        <v>445481.01343753427</v>
      </c>
      <c r="AA16" s="57">
        <f>($E$5-Z16)*N16</f>
        <v>-20046645.604689043</v>
      </c>
      <c r="AB16" s="58"/>
      <c r="AC16" s="59">
        <f>IF($D$15=1,AA16*AB16*IF($D$17=1,$B$5,1),AA16*IF($D$17=1,$B$5,1))</f>
        <v>-20046645.604689043</v>
      </c>
      <c r="AD16" s="60">
        <f>J16+K16*N16</f>
        <v>-425064</v>
      </c>
      <c r="AE16" s="61">
        <f>AC16/AD16</f>
        <v>47.161475929951827</v>
      </c>
      <c r="AF16" s="62">
        <f>RANK(AE16,$AE$14:$AE$17)</f>
        <v>3</v>
      </c>
      <c r="AG16" s="63"/>
      <c r="AH16" s="61"/>
      <c r="AI16" s="67"/>
      <c r="AJ16" s="64" t="str">
        <f>INDEX($G$14:$G$17,MATCH(ROW()-ROW($AK$13),$AF$14:$AF$17,0))</f>
        <v>B3 (P1)</v>
      </c>
      <c r="AK16" s="65">
        <f t="shared" si="4"/>
        <v>23705055.966911703</v>
      </c>
      <c r="AL16" s="65">
        <f t="shared" si="4"/>
        <v>486123</v>
      </c>
      <c r="AM16" s="26">
        <f>INDEX(AE:AE,MATCH(AJ16,G:G,0))</f>
        <v>47.161475929951827</v>
      </c>
      <c r="AN16" s="26" t="str">
        <f>AJ16&amp;" - "&amp;INDEX(H:H,MATCH(AJ16,G:G,0))</f>
        <v>B3 (P1) - Ongoing Transmission Projects/Planning</v>
      </c>
      <c r="AQ16" s="66"/>
      <c r="AR16" s="66"/>
    </row>
    <row r="17" spans="3:40" ht="30" x14ac:dyDescent="0.25">
      <c r="C17" s="52" t="s">
        <v>153</v>
      </c>
      <c r="D17" s="52">
        <v>1</v>
      </c>
      <c r="F17" s="53">
        <v>42660</v>
      </c>
      <c r="G17" s="52" t="s">
        <v>135</v>
      </c>
      <c r="H17" s="23" t="s">
        <v>142</v>
      </c>
      <c r="I17" s="23" t="s">
        <v>143</v>
      </c>
      <c r="J17" s="30">
        <f>'[1]Revised cost ranges'!F25</f>
        <v>14629</v>
      </c>
      <c r="K17" s="30">
        <f>'[1]Revised cost ranges'!I25</f>
        <v>0</v>
      </c>
      <c r="L17" s="30">
        <f>(0.08*J17)/(1-(1+0.08)^-N17)</f>
        <v>1299.4565230224059</v>
      </c>
      <c r="M17" s="52" t="s">
        <v>74</v>
      </c>
      <c r="N17" s="52">
        <v>30</v>
      </c>
      <c r="O17" s="23" t="s">
        <v>148</v>
      </c>
      <c r="P17" s="54">
        <v>10</v>
      </c>
      <c r="Q17" s="55">
        <f>$D$5*(1-($P17/100))</f>
        <v>1.6431676725154949E-2</v>
      </c>
      <c r="R17" s="52">
        <v>0</v>
      </c>
      <c r="S17" s="43">
        <v>0</v>
      </c>
      <c r="T17" s="43">
        <v>0</v>
      </c>
      <c r="U17" s="43">
        <v>0</v>
      </c>
      <c r="V17" s="56">
        <f>(R$12)* ((10^R$11)*(1-(R17/100)))</f>
        <v>400000</v>
      </c>
      <c r="W17" s="56">
        <f t="shared" ref="W17" si="5">(S$12)* ((10^S$11)*(1-(S17/100)))</f>
        <v>2000000</v>
      </c>
      <c r="X17" s="56">
        <f t="shared" ref="X17" si="6">(T$12)* ((10^T$11)*(1-(T17/100)))</f>
        <v>20000</v>
      </c>
      <c r="Y17" s="56">
        <f t="shared" ref="Y17" si="7">(U$12)* ((10^U$11)*(1-(U17/100)))</f>
        <v>20000</v>
      </c>
      <c r="Z17" s="57">
        <f>Q17*SUM(V17:Y17)</f>
        <v>40093.291209378076</v>
      </c>
      <c r="AA17" s="57">
        <f>($E$5-Z17)*N17</f>
        <v>133644.30403126011</v>
      </c>
      <c r="AB17" s="58"/>
      <c r="AC17" s="59">
        <f>IF($D$15=1,AA17*AB17*IF($D$17=1,$B$5,1),AA17*IF($D$17=1,$B$5,1))</f>
        <v>133644.30403126011</v>
      </c>
      <c r="AD17" s="60">
        <f>J17+K17*N17</f>
        <v>14629</v>
      </c>
      <c r="AE17" s="61">
        <f>AC17/AD17</f>
        <v>9.1355734521334409</v>
      </c>
      <c r="AF17" s="62">
        <f t="shared" ref="AF17" si="8">RANK(AE17,$AE$14:$AE$17)</f>
        <v>4</v>
      </c>
      <c r="AG17" s="63"/>
      <c r="AH17" s="61"/>
      <c r="AI17" s="67"/>
      <c r="AJ17" s="64" t="str">
        <f>INDEX($G$14:$G$17,MATCH(ROW()-ROW($AK$13),$AF$14:$AF$17,0))</f>
        <v>P2</v>
      </c>
      <c r="AK17" s="65">
        <f t="shared" si="4"/>
        <v>23838700.270942964</v>
      </c>
      <c r="AL17" s="65">
        <f t="shared" si="4"/>
        <v>500752</v>
      </c>
      <c r="AM17" s="26">
        <f>INDEX(AE:AE,MATCH(AJ17,G:G,0))</f>
        <v>9.1355734521334409</v>
      </c>
      <c r="AN17" s="26" t="str">
        <f>AJ17&amp;" - "&amp;INDEX(H:H,MATCH(AJ17,G:G,0))</f>
        <v>P2 - System Modernization</v>
      </c>
    </row>
    <row r="18" spans="3:40" x14ac:dyDescent="0.25">
      <c r="G18" s="52"/>
      <c r="H18" s="23"/>
      <c r="I18" s="23"/>
      <c r="J18" s="30"/>
      <c r="K18" s="30"/>
      <c r="L18" s="30"/>
      <c r="M18" s="52"/>
      <c r="N18" s="52"/>
      <c r="O18" s="23"/>
      <c r="P18" s="54"/>
      <c r="Q18" s="55"/>
      <c r="R18" s="52"/>
      <c r="S18" s="43"/>
      <c r="T18" s="43"/>
      <c r="U18" s="43"/>
      <c r="V18" s="56"/>
      <c r="W18" s="56"/>
      <c r="X18" s="56"/>
      <c r="Y18" s="56"/>
      <c r="Z18" s="57"/>
      <c r="AA18" s="57"/>
      <c r="AB18" s="58"/>
      <c r="AC18" s="59"/>
      <c r="AD18" s="60"/>
      <c r="AE18" s="61"/>
      <c r="AF18" s="62"/>
      <c r="AG18" s="63"/>
      <c r="AH18" s="61"/>
      <c r="AI18" s="67"/>
      <c r="AJ18" s="64"/>
      <c r="AK18" s="65"/>
      <c r="AL18" s="65"/>
    </row>
    <row r="19" spans="3:40" x14ac:dyDescent="0.25">
      <c r="C19" s="64"/>
      <c r="G19" s="52"/>
      <c r="H19" s="23"/>
      <c r="I19" s="52"/>
      <c r="J19" s="30"/>
      <c r="K19" s="30"/>
      <c r="L19" s="30"/>
      <c r="M19" s="52"/>
      <c r="N19" s="52"/>
      <c r="O19" s="23"/>
      <c r="P19" s="54"/>
      <c r="Q19" s="55"/>
      <c r="R19" s="43"/>
      <c r="S19" s="43"/>
      <c r="T19" s="43"/>
      <c r="U19" s="43"/>
      <c r="V19" s="56"/>
      <c r="W19" s="56"/>
      <c r="X19" s="56"/>
      <c r="Y19" s="56"/>
      <c r="Z19" s="57"/>
      <c r="AA19" s="57"/>
      <c r="AB19" s="58"/>
      <c r="AC19" s="59"/>
      <c r="AD19" s="60"/>
      <c r="AE19" s="61"/>
      <c r="AF19" s="61"/>
      <c r="AG19" s="63"/>
      <c r="AH19" s="61"/>
      <c r="AI19" s="67"/>
      <c r="AJ19" s="64"/>
    </row>
    <row r="20" spans="3:40" x14ac:dyDescent="0.25">
      <c r="G20" s="52"/>
      <c r="H20" s="23"/>
      <c r="I20" s="52"/>
      <c r="J20" s="30"/>
      <c r="K20" s="30"/>
      <c r="L20" s="30"/>
      <c r="M20" s="52"/>
      <c r="N20" s="52"/>
      <c r="O20" s="23"/>
      <c r="P20" s="54"/>
      <c r="Q20" s="55"/>
      <c r="R20" s="43"/>
      <c r="S20" s="43"/>
      <c r="T20" s="43"/>
      <c r="U20" s="43"/>
      <c r="V20" s="56"/>
      <c r="W20" s="56"/>
      <c r="X20" s="56"/>
      <c r="Y20" s="56"/>
      <c r="Z20" s="57"/>
      <c r="AA20" s="57"/>
      <c r="AB20" s="58"/>
      <c r="AC20" s="59"/>
      <c r="AD20" s="60"/>
      <c r="AE20" s="61"/>
      <c r="AF20" s="61"/>
      <c r="AG20" s="63"/>
      <c r="AH20" s="61"/>
      <c r="AI20" s="67"/>
      <c r="AJ20" s="64"/>
      <c r="AK20" s="69"/>
    </row>
    <row r="21" spans="3:40" x14ac:dyDescent="0.25">
      <c r="G21" s="52"/>
      <c r="H21" s="23"/>
      <c r="I21" s="52"/>
      <c r="J21" s="30"/>
      <c r="K21" s="30"/>
      <c r="L21" s="30"/>
      <c r="M21" s="52"/>
      <c r="N21" s="52"/>
      <c r="O21" s="23"/>
      <c r="P21" s="54"/>
      <c r="Q21" s="55"/>
      <c r="R21" s="43"/>
      <c r="S21" s="43"/>
      <c r="T21" s="43"/>
      <c r="U21" s="43"/>
      <c r="V21" s="56"/>
      <c r="W21" s="56"/>
      <c r="X21" s="56"/>
      <c r="Y21" s="56"/>
      <c r="Z21" s="57"/>
      <c r="AA21" s="57"/>
      <c r="AB21" s="58"/>
      <c r="AC21" s="59"/>
      <c r="AD21" s="60"/>
      <c r="AE21" s="61"/>
      <c r="AF21" s="61"/>
      <c r="AG21" s="63"/>
      <c r="AH21" s="61"/>
      <c r="AI21" s="67"/>
      <c r="AJ21" s="64"/>
      <c r="AK21" s="69"/>
    </row>
    <row r="22" spans="3:40" x14ac:dyDescent="0.25">
      <c r="C22" s="78" t="s">
        <v>21</v>
      </c>
      <c r="D22" s="78"/>
      <c r="E22" s="38" t="s">
        <v>78</v>
      </c>
      <c r="G22" s="52"/>
      <c r="H22" s="23"/>
      <c r="I22" s="52"/>
      <c r="J22" s="30"/>
      <c r="K22" s="30"/>
      <c r="L22" s="30"/>
      <c r="M22" s="52"/>
      <c r="N22" s="52"/>
      <c r="O22" s="23"/>
      <c r="P22" s="54"/>
      <c r="Q22" s="55"/>
      <c r="R22" s="43"/>
      <c r="S22" s="43"/>
      <c r="T22" s="43"/>
      <c r="U22" s="43"/>
      <c r="V22" s="56"/>
      <c r="W22" s="56"/>
      <c r="X22" s="56"/>
      <c r="Y22" s="56"/>
      <c r="Z22" s="57"/>
      <c r="AA22" s="57"/>
      <c r="AB22" s="58"/>
      <c r="AC22" s="59"/>
      <c r="AD22" s="60"/>
      <c r="AE22" s="61"/>
      <c r="AF22" s="61"/>
      <c r="AG22" s="63"/>
      <c r="AH22" s="61"/>
      <c r="AI22" s="67"/>
      <c r="AJ22" s="64"/>
      <c r="AK22" s="69"/>
    </row>
    <row r="23" spans="3:40" x14ac:dyDescent="0.25">
      <c r="C23" s="31">
        <v>7</v>
      </c>
      <c r="D23" s="23">
        <v>31.6227766016838</v>
      </c>
      <c r="E23" s="52" t="s">
        <v>79</v>
      </c>
      <c r="G23" s="52"/>
      <c r="H23" s="23"/>
      <c r="I23" s="52"/>
      <c r="J23" s="30"/>
      <c r="K23" s="30"/>
      <c r="L23" s="30"/>
      <c r="M23" s="52"/>
      <c r="N23" s="52"/>
      <c r="O23" s="23"/>
      <c r="P23" s="54"/>
      <c r="Q23" s="55"/>
      <c r="R23" s="43"/>
      <c r="S23" s="43"/>
      <c r="T23" s="43"/>
      <c r="U23" s="43"/>
      <c r="V23" s="56"/>
      <c r="W23" s="56"/>
      <c r="X23" s="56"/>
      <c r="Y23" s="56"/>
      <c r="Z23" s="57"/>
      <c r="AA23" s="57"/>
      <c r="AB23" s="58"/>
      <c r="AC23" s="59"/>
      <c r="AD23" s="60"/>
      <c r="AE23" s="61"/>
      <c r="AF23" s="61"/>
      <c r="AG23" s="63"/>
      <c r="AH23" s="61"/>
      <c r="AI23" s="67"/>
      <c r="AJ23" s="64"/>
      <c r="AK23" s="69"/>
    </row>
    <row r="24" spans="3:40" x14ac:dyDescent="0.25">
      <c r="C24" s="31">
        <v>6</v>
      </c>
      <c r="D24" s="23">
        <v>3.16227766016838</v>
      </c>
      <c r="E24" s="52" t="s">
        <v>80</v>
      </c>
      <c r="G24" s="52"/>
      <c r="H24" s="23"/>
      <c r="I24" s="52"/>
      <c r="J24" s="30"/>
      <c r="K24" s="30"/>
      <c r="L24" s="30"/>
      <c r="M24" s="52"/>
      <c r="N24" s="52"/>
      <c r="O24" s="23"/>
      <c r="P24" s="54"/>
      <c r="Q24" s="55"/>
      <c r="R24" s="43"/>
      <c r="S24" s="43"/>
      <c r="T24" s="43"/>
      <c r="U24" s="43"/>
      <c r="V24" s="56"/>
      <c r="W24" s="56"/>
      <c r="X24" s="56"/>
      <c r="Y24" s="56"/>
      <c r="Z24" s="57"/>
      <c r="AA24" s="57"/>
      <c r="AB24" s="58"/>
      <c r="AC24" s="59"/>
      <c r="AD24" s="60"/>
      <c r="AE24" s="61"/>
      <c r="AF24" s="61"/>
      <c r="AG24" s="63"/>
      <c r="AH24" s="61"/>
      <c r="AI24" s="67"/>
      <c r="AJ24" s="64"/>
      <c r="AK24" s="69"/>
    </row>
    <row r="25" spans="3:40" x14ac:dyDescent="0.25">
      <c r="C25" s="31">
        <v>5</v>
      </c>
      <c r="D25" s="23">
        <v>0.57735026918962595</v>
      </c>
      <c r="E25" s="52" t="s">
        <v>81</v>
      </c>
      <c r="G25" s="52"/>
      <c r="H25" s="23"/>
      <c r="I25" s="52"/>
      <c r="J25" s="30"/>
      <c r="K25" s="30"/>
      <c r="L25" s="30"/>
      <c r="M25" s="52"/>
      <c r="N25" s="52"/>
      <c r="O25" s="23"/>
      <c r="P25" s="54"/>
      <c r="Q25" s="55"/>
      <c r="R25" s="43"/>
      <c r="S25" s="43"/>
      <c r="T25" s="43"/>
      <c r="U25" s="43"/>
      <c r="V25" s="56"/>
      <c r="W25" s="56"/>
      <c r="X25" s="56"/>
      <c r="Y25" s="56"/>
      <c r="Z25" s="57"/>
      <c r="AA25" s="57"/>
      <c r="AB25" s="58"/>
      <c r="AC25" s="59"/>
      <c r="AD25" s="60"/>
      <c r="AE25" s="61"/>
      <c r="AF25" s="61"/>
      <c r="AG25" s="63"/>
      <c r="AH25" s="61"/>
      <c r="AI25" s="67"/>
      <c r="AJ25" s="64"/>
    </row>
    <row r="26" spans="3:40" x14ac:dyDescent="0.25">
      <c r="C26" s="31">
        <v>4</v>
      </c>
      <c r="D26" s="23">
        <v>0.182574185835055</v>
      </c>
      <c r="E26" s="52" t="s">
        <v>82</v>
      </c>
      <c r="AD26" s="35"/>
      <c r="AE26" s="26"/>
    </row>
    <row r="27" spans="3:40" x14ac:dyDescent="0.25">
      <c r="C27" s="31">
        <v>3</v>
      </c>
      <c r="D27" s="23">
        <v>5.7735026918962602E-2</v>
      </c>
      <c r="E27" s="52" t="s">
        <v>83</v>
      </c>
      <c r="AD27" s="35"/>
      <c r="AE27" s="26"/>
    </row>
    <row r="28" spans="3:40" x14ac:dyDescent="0.25">
      <c r="C28" s="31">
        <v>2</v>
      </c>
      <c r="D28" s="23">
        <v>1.8257418583505498E-2</v>
      </c>
      <c r="E28" s="52" t="s">
        <v>84</v>
      </c>
      <c r="AD28" s="35"/>
      <c r="AE28" s="26"/>
    </row>
    <row r="29" spans="3:40" x14ac:dyDescent="0.25">
      <c r="C29" s="31">
        <v>1</v>
      </c>
      <c r="D29" s="23">
        <f>D27/10</f>
        <v>5.7735026918962606E-3</v>
      </c>
      <c r="E29" s="52" t="s">
        <v>85</v>
      </c>
      <c r="AD29" s="35"/>
      <c r="AE29" s="26"/>
    </row>
    <row r="30" spans="3:40" ht="15.75" thickBot="1" x14ac:dyDescent="0.3">
      <c r="AD30" s="35"/>
      <c r="AE30" s="26"/>
    </row>
    <row r="31" spans="3:40" ht="15.75" thickBot="1" x14ac:dyDescent="0.3">
      <c r="H31" s="90" t="s">
        <v>138</v>
      </c>
      <c r="I31" s="91"/>
      <c r="J31" s="92"/>
      <c r="AD31" s="35"/>
      <c r="AE31" s="26"/>
    </row>
    <row r="32" spans="3:40" ht="30.75" thickBot="1" x14ac:dyDescent="0.3">
      <c r="H32" s="70" t="s">
        <v>62</v>
      </c>
      <c r="I32" s="71" t="s">
        <v>140</v>
      </c>
      <c r="J32" s="72">
        <v>4</v>
      </c>
      <c r="K32" s="26" t="str">
        <f>INDEX(Analysis!E23:E29,MATCH(J32,Analysis!C23:C29,0))</f>
        <v>Once every 3-10 years</v>
      </c>
      <c r="AD32" s="35"/>
      <c r="AE32" s="26"/>
    </row>
    <row r="33" spans="8:31" ht="45.75" thickBot="1" x14ac:dyDescent="0.3">
      <c r="H33" s="93" t="s">
        <v>58</v>
      </c>
      <c r="I33" s="73" t="s">
        <v>144</v>
      </c>
      <c r="J33" s="74" t="s">
        <v>139</v>
      </c>
      <c r="AD33" s="35"/>
      <c r="AE33" s="26"/>
    </row>
    <row r="34" spans="8:31" ht="15.75" thickBot="1" x14ac:dyDescent="0.3">
      <c r="H34" s="94"/>
      <c r="I34" s="75"/>
      <c r="J34" s="76"/>
    </row>
  </sheetData>
  <sheetProtection algorithmName="SHA-512" hashValue="qrdepCyx0AOZzZQ1+OpoLkKLYmYFwCua46f/xSCUHRbir9bC1t2hyjpEOFZcC+5Hp0AbQmM9ZSgLNpvieouYgA==" saltValue="d7U8iOi4W+lMfcA5phnPqA==" spinCount="100000" sheet="1" objects="1" scenarios="1"/>
  <mergeCells count="10">
    <mergeCell ref="A5:A9"/>
    <mergeCell ref="B5:B9"/>
    <mergeCell ref="E5:E9"/>
    <mergeCell ref="H31:J31"/>
    <mergeCell ref="H33:H34"/>
    <mergeCell ref="V12:Y12"/>
    <mergeCell ref="C22:D22"/>
    <mergeCell ref="J12:K12"/>
    <mergeCell ref="C1:H1"/>
    <mergeCell ref="B3:E3"/>
  </mergeCells>
  <dataValidations count="3">
    <dataValidation type="list" allowBlank="1" showInputMessage="1" showErrorMessage="1" sqref="M14:M25">
      <formula1>"New, Existing"</formula1>
    </dataValidation>
    <dataValidation type="list" allowBlank="1" showInputMessage="1" showErrorMessage="1" sqref="J33">
      <formula1>"4th, 3rd"</formula1>
    </dataValidation>
    <dataValidation type="list" allowBlank="1" showInputMessage="1" showErrorMessage="1" sqref="J32">
      <formula1>"4, 5"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60"/>
  <sheetViews>
    <sheetView workbookViewId="0"/>
  </sheetViews>
  <sheetFormatPr defaultRowHeight="15" x14ac:dyDescent="0.25"/>
  <cols>
    <col min="1" max="1" width="9.140625" style="26"/>
    <col min="2" max="2" width="29.42578125" style="26" bestFit="1" customWidth="1"/>
    <col min="3" max="3" width="12.140625" style="26" bestFit="1" customWidth="1"/>
    <col min="4" max="4" width="12" style="26" bestFit="1" customWidth="1"/>
    <col min="5" max="5" width="12.140625" style="26" bestFit="1" customWidth="1"/>
    <col min="6" max="8" width="9.140625" style="26"/>
    <col min="9" max="9" width="9.28515625" style="26" bestFit="1" customWidth="1"/>
    <col min="10" max="16384" width="9.140625" style="26"/>
  </cols>
  <sheetData>
    <row r="1" spans="1:7" x14ac:dyDescent="0.25">
      <c r="A1" s="26" t="s">
        <v>136</v>
      </c>
      <c r="B1" s="95" t="s">
        <v>137</v>
      </c>
      <c r="C1" s="95"/>
      <c r="D1" s="95"/>
      <c r="E1" s="95"/>
    </row>
    <row r="2" spans="1:7" x14ac:dyDescent="0.25">
      <c r="A2" s="27" t="s">
        <v>86</v>
      </c>
      <c r="B2" s="28">
        <v>1.6363495718714482E-5</v>
      </c>
      <c r="G2" s="26" t="s">
        <v>134</v>
      </c>
    </row>
    <row r="3" spans="1:7" x14ac:dyDescent="0.25">
      <c r="A3" s="27" t="s">
        <v>87</v>
      </c>
      <c r="B3" s="28">
        <v>1.4641066129899877E-5</v>
      </c>
    </row>
    <row r="4" spans="1:7" x14ac:dyDescent="0.25">
      <c r="A4" s="27" t="s">
        <v>88</v>
      </c>
      <c r="B4" s="28">
        <v>1.4292935979682968E-5</v>
      </c>
    </row>
    <row r="5" spans="1:7" x14ac:dyDescent="0.25">
      <c r="A5" s="27" t="s">
        <v>89</v>
      </c>
      <c r="B5" s="28">
        <v>1.1360430484579163E-5</v>
      </c>
    </row>
    <row r="6" spans="1:7" x14ac:dyDescent="0.25">
      <c r="A6" s="27" t="s">
        <v>90</v>
      </c>
      <c r="B6" s="28">
        <v>1.1181358439210149E-5</v>
      </c>
    </row>
    <row r="7" spans="1:7" x14ac:dyDescent="0.25">
      <c r="A7" s="27" t="s">
        <v>91</v>
      </c>
      <c r="B7" s="28">
        <v>9.8764675624555564E-6</v>
      </c>
    </row>
    <row r="8" spans="1:7" x14ac:dyDescent="0.25">
      <c r="A8" s="27" t="s">
        <v>92</v>
      </c>
      <c r="B8" s="28">
        <v>9.0230599335033894E-6</v>
      </c>
    </row>
    <row r="9" spans="1:7" x14ac:dyDescent="0.25">
      <c r="A9" s="27" t="s">
        <v>93</v>
      </c>
      <c r="B9" s="28">
        <v>8.4909415804905464E-6</v>
      </c>
    </row>
    <row r="10" spans="1:7" x14ac:dyDescent="0.25">
      <c r="A10" s="27" t="s">
        <v>94</v>
      </c>
      <c r="B10" s="28">
        <v>8.4572496601242786E-6</v>
      </c>
    </row>
    <row r="11" spans="1:7" x14ac:dyDescent="0.25">
      <c r="A11" s="27" t="s">
        <v>95</v>
      </c>
      <c r="B11" s="28">
        <v>8.266897538568834E-6</v>
      </c>
    </row>
    <row r="12" spans="1:7" x14ac:dyDescent="0.25">
      <c r="A12" s="27" t="s">
        <v>96</v>
      </c>
      <c r="B12" s="28">
        <v>8.1357836600920976E-6</v>
      </c>
    </row>
    <row r="13" spans="1:7" x14ac:dyDescent="0.25">
      <c r="A13" s="27" t="s">
        <v>97</v>
      </c>
      <c r="B13" s="28">
        <v>8.0585480376763987E-6</v>
      </c>
    </row>
    <row r="14" spans="1:7" x14ac:dyDescent="0.25">
      <c r="A14" s="27" t="s">
        <v>98</v>
      </c>
      <c r="C14" s="28">
        <v>7.2031593468504393E-6</v>
      </c>
    </row>
    <row r="15" spans="1:7" x14ac:dyDescent="0.25">
      <c r="A15" s="27" t="s">
        <v>99</v>
      </c>
      <c r="C15" s="28">
        <v>7.1573482168003721E-6</v>
      </c>
    </row>
    <row r="16" spans="1:7" x14ac:dyDescent="0.25">
      <c r="A16" s="27" t="s">
        <v>100</v>
      </c>
      <c r="C16" s="28">
        <v>6.9489763855654657E-6</v>
      </c>
    </row>
    <row r="17" spans="1:4" x14ac:dyDescent="0.25">
      <c r="A17" s="27" t="s">
        <v>101</v>
      </c>
      <c r="C17" s="28">
        <v>5.8755840556535321E-6</v>
      </c>
    </row>
    <row r="18" spans="1:4" x14ac:dyDescent="0.25">
      <c r="A18" s="27" t="s">
        <v>102</v>
      </c>
      <c r="C18" s="28">
        <v>5.5696560681681349E-6</v>
      </c>
    </row>
    <row r="19" spans="1:4" x14ac:dyDescent="0.25">
      <c r="A19" s="27" t="s">
        <v>103</v>
      </c>
      <c r="C19" s="28">
        <v>5.0782640143657118E-6</v>
      </c>
    </row>
    <row r="20" spans="1:4" x14ac:dyDescent="0.25">
      <c r="A20" s="27" t="s">
        <v>104</v>
      </c>
      <c r="C20" s="28">
        <v>4.8428030050061302E-6</v>
      </c>
    </row>
    <row r="21" spans="1:4" x14ac:dyDescent="0.25">
      <c r="A21" s="27" t="s">
        <v>105</v>
      </c>
      <c r="C21" s="28">
        <v>4.6975723354654868E-6</v>
      </c>
    </row>
    <row r="22" spans="1:4" x14ac:dyDescent="0.25">
      <c r="A22" s="27" t="s">
        <v>106</v>
      </c>
      <c r="C22" s="28">
        <v>4.5636846259711712E-6</v>
      </c>
    </row>
    <row r="23" spans="1:4" x14ac:dyDescent="0.25">
      <c r="A23" s="27" t="s">
        <v>107</v>
      </c>
      <c r="C23" s="28">
        <v>4.2095535327943796E-6</v>
      </c>
    </row>
    <row r="24" spans="1:4" x14ac:dyDescent="0.25">
      <c r="A24" s="27" t="s">
        <v>108</v>
      </c>
      <c r="C24" s="28">
        <v>4.1838956000898702E-6</v>
      </c>
    </row>
    <row r="25" spans="1:4" x14ac:dyDescent="0.25">
      <c r="A25" s="27" t="s">
        <v>109</v>
      </c>
      <c r="D25" s="28">
        <v>4.1213079787356064E-6</v>
      </c>
    </row>
    <row r="26" spans="1:4" x14ac:dyDescent="0.25">
      <c r="A26" s="27" t="s">
        <v>110</v>
      </c>
      <c r="D26" s="28">
        <v>3.5793378122780493E-6</v>
      </c>
    </row>
    <row r="27" spans="1:4" x14ac:dyDescent="0.25">
      <c r="A27" s="27" t="s">
        <v>111</v>
      </c>
      <c r="D27" s="28">
        <v>3.3331823300732283E-6</v>
      </c>
    </row>
    <row r="28" spans="1:4" x14ac:dyDescent="0.25">
      <c r="A28" s="27" t="s">
        <v>112</v>
      </c>
      <c r="D28" s="28">
        <v>3.2400025716155245E-6</v>
      </c>
    </row>
    <row r="29" spans="1:4" x14ac:dyDescent="0.25">
      <c r="A29" s="27" t="s">
        <v>113</v>
      </c>
      <c r="D29" s="28">
        <v>3.2379501891404451E-6</v>
      </c>
    </row>
    <row r="30" spans="1:4" x14ac:dyDescent="0.25">
      <c r="A30" s="27" t="s">
        <v>114</v>
      </c>
      <c r="D30" s="28">
        <v>3.0140612655953948E-6</v>
      </c>
    </row>
    <row r="31" spans="1:4" x14ac:dyDescent="0.25">
      <c r="A31" s="27" t="s">
        <v>115</v>
      </c>
      <c r="D31" s="28">
        <v>2.7943649822015389E-6</v>
      </c>
    </row>
    <row r="32" spans="1:4" x14ac:dyDescent="0.25">
      <c r="A32" s="27" t="s">
        <v>116</v>
      </c>
      <c r="D32" s="28">
        <v>2.7940707025620931E-6</v>
      </c>
    </row>
    <row r="33" spans="1:9" x14ac:dyDescent="0.25">
      <c r="A33" s="27" t="s">
        <v>117</v>
      </c>
      <c r="D33" s="28">
        <v>2.1859540067990457E-6</v>
      </c>
    </row>
    <row r="34" spans="1:9" x14ac:dyDescent="0.25">
      <c r="A34" s="27" t="s">
        <v>118</v>
      </c>
      <c r="D34" s="28">
        <v>2.0711473464232877E-6</v>
      </c>
      <c r="I34" s="26">
        <f>(1.94-4.12)/1.94</f>
        <v>-1.1237113402061856</v>
      </c>
    </row>
    <row r="35" spans="1:9" x14ac:dyDescent="0.25">
      <c r="A35" s="27" t="s">
        <v>119</v>
      </c>
      <c r="D35" s="28">
        <v>1.9415085797563295E-6</v>
      </c>
    </row>
    <row r="36" spans="1:9" x14ac:dyDescent="0.25">
      <c r="A36" s="27" t="s">
        <v>120</v>
      </c>
      <c r="D36" s="28">
        <v>1.8127654946130653E-6</v>
      </c>
    </row>
    <row r="37" spans="1:9" x14ac:dyDescent="0.25">
      <c r="A37" s="27" t="s">
        <v>121</v>
      </c>
      <c r="E37" s="28">
        <v>1.775912236785141E-6</v>
      </c>
    </row>
    <row r="38" spans="1:9" x14ac:dyDescent="0.25">
      <c r="A38" s="27" t="s">
        <v>122</v>
      </c>
      <c r="E38" s="28">
        <v>1.7374137405103083E-6</v>
      </c>
    </row>
    <row r="39" spans="1:9" x14ac:dyDescent="0.25">
      <c r="A39" s="27" t="s">
        <v>123</v>
      </c>
      <c r="E39" s="28">
        <v>1.7172446740515056E-6</v>
      </c>
    </row>
    <row r="40" spans="1:9" x14ac:dyDescent="0.25">
      <c r="A40" s="27" t="s">
        <v>124</v>
      </c>
      <c r="E40" s="28">
        <v>1.2804511285416077E-6</v>
      </c>
    </row>
    <row r="41" spans="1:9" x14ac:dyDescent="0.25">
      <c r="A41" s="27" t="s">
        <v>125</v>
      </c>
      <c r="E41" s="28">
        <v>1.0547466234923716E-6</v>
      </c>
    </row>
    <row r="42" spans="1:9" x14ac:dyDescent="0.25">
      <c r="A42" s="27" t="s">
        <v>126</v>
      </c>
      <c r="E42" s="28">
        <v>9.591824695975126E-7</v>
      </c>
    </row>
    <row r="43" spans="1:9" x14ac:dyDescent="0.25">
      <c r="A43" s="27" t="s">
        <v>127</v>
      </c>
      <c r="E43" s="28">
        <v>8.7872625699960381E-7</v>
      </c>
    </row>
    <row r="44" spans="1:9" x14ac:dyDescent="0.25">
      <c r="A44" s="27" t="s">
        <v>128</v>
      </c>
      <c r="E44" s="28">
        <v>8.6635037947012973E-7</v>
      </c>
    </row>
    <row r="45" spans="1:9" x14ac:dyDescent="0.25">
      <c r="A45" s="27" t="s">
        <v>129</v>
      </c>
      <c r="E45" s="28">
        <v>6.6757479090723084E-7</v>
      </c>
    </row>
    <row r="46" spans="1:9" x14ac:dyDescent="0.25">
      <c r="A46" s="27" t="s">
        <v>130</v>
      </c>
      <c r="E46" s="28">
        <v>5.4979553104200553E-7</v>
      </c>
    </row>
    <row r="47" spans="1:9" x14ac:dyDescent="0.25">
      <c r="A47" s="27" t="s">
        <v>131</v>
      </c>
      <c r="E47" s="28">
        <v>3.4591961865821237E-7</v>
      </c>
    </row>
    <row r="52" spans="2:5" x14ac:dyDescent="0.25">
      <c r="B52" s="26">
        <f>AVERAGE(B2:B47)</f>
        <v>1.0679019560416481E-5</v>
      </c>
      <c r="C52" s="26">
        <f>AVERAGE(C2:C47)</f>
        <v>5.4845906533391535E-6</v>
      </c>
      <c r="D52" s="26">
        <f>AVERAGE(D2:D47)</f>
        <v>2.8438044383161343E-6</v>
      </c>
      <c r="E52" s="26">
        <f>AVERAGE(E2:E47)</f>
        <v>1.0757561318232389E-6</v>
      </c>
    </row>
    <row r="57" spans="2:5" x14ac:dyDescent="0.25">
      <c r="B57" s="26" t="s">
        <v>132</v>
      </c>
      <c r="C57" s="26">
        <f>D35</f>
        <v>1.9415085797563295E-6</v>
      </c>
    </row>
    <row r="58" spans="2:5" x14ac:dyDescent="0.25">
      <c r="B58" s="26" t="str">
        <f>Analysis!J33&amp;" Quartile Average"</f>
        <v>3rd Quartile Average</v>
      </c>
      <c r="C58" s="26">
        <f>IF(Analysis!J33="3rd",C52,B52)</f>
        <v>5.4845906533391535E-6</v>
      </c>
    </row>
    <row r="60" spans="2:5" x14ac:dyDescent="0.25">
      <c r="B60" s="26" t="s">
        <v>133</v>
      </c>
      <c r="C60" s="29">
        <f>ROUND((C57-D25)/C57,4)</f>
        <v>-1.1227</v>
      </c>
    </row>
  </sheetData>
  <sheetProtection algorithmName="SHA-512" hashValue="kCaOtwF+nZb+DCq5R953NYABaZwfxDx3OP3ZFvbJkwrOf7uXuJecZ2LH2Do280ty5xjwDJcvFcCPTfFPCl3a7w==" saltValue="1nvEa1NK5bVrRX8Or23E5Q==" spinCount="100000" sheet="1" objects="1" scenarios="1"/>
  <mergeCells count="1">
    <mergeCell ref="B1:E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48"/>
  <sheetViews>
    <sheetView workbookViewId="0">
      <selection activeCell="P19" sqref="P19"/>
    </sheetView>
  </sheetViews>
  <sheetFormatPr defaultRowHeight="15" x14ac:dyDescent="0.25"/>
  <cols>
    <col min="2" max="2" width="77.7109375" bestFit="1" customWidth="1"/>
    <col min="3" max="3" width="14.42578125" bestFit="1" customWidth="1"/>
    <col min="4" max="4" width="23.42578125" bestFit="1" customWidth="1"/>
    <col min="5" max="5" width="27" bestFit="1" customWidth="1"/>
    <col min="6" max="6" width="28.42578125" bestFit="1" customWidth="1"/>
    <col min="7" max="7" width="25.85546875" bestFit="1" customWidth="1"/>
    <col min="8" max="8" width="22.28515625" bestFit="1" customWidth="1"/>
    <col min="9" max="9" width="18.5703125" bestFit="1" customWidth="1"/>
    <col min="11" max="11" width="4.7109375" customWidth="1"/>
    <col min="12" max="12" width="11.5703125" bestFit="1" customWidth="1"/>
    <col min="13" max="13" width="22.7109375" bestFit="1" customWidth="1"/>
    <col min="15" max="15" width="4.140625" customWidth="1"/>
    <col min="16" max="16" width="11.5703125" bestFit="1" customWidth="1"/>
  </cols>
  <sheetData>
    <row r="1" spans="1:16" x14ac:dyDescent="0.25">
      <c r="B1" s="5" t="s">
        <v>22</v>
      </c>
      <c r="C1" s="5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5" t="s">
        <v>28</v>
      </c>
      <c r="I1" s="6" t="s">
        <v>29</v>
      </c>
      <c r="K1" s="96" t="s">
        <v>21</v>
      </c>
      <c r="L1" s="96"/>
      <c r="M1" s="1" t="s">
        <v>78</v>
      </c>
      <c r="O1" s="96" t="s">
        <v>30</v>
      </c>
      <c r="P1" s="96"/>
    </row>
    <row r="2" spans="1:16" x14ac:dyDescent="0.25">
      <c r="A2">
        <v>1</v>
      </c>
      <c r="B2" s="7" t="s">
        <v>35</v>
      </c>
      <c r="C2" s="8">
        <v>0.182574185835055</v>
      </c>
      <c r="D2" s="7">
        <v>4</v>
      </c>
      <c r="E2" s="7">
        <v>6</v>
      </c>
      <c r="F2" s="7">
        <v>5</v>
      </c>
      <c r="G2" s="7">
        <v>5</v>
      </c>
      <c r="H2" s="9">
        <v>44548.101343753427</v>
      </c>
      <c r="I2" s="10">
        <f t="shared" ref="I2:I29" si="0">($K$11*$C2*10^$D2)+($K$12*$C2*10^$E2)+($K$13*$C2*10^$F2)+($K$14*$C2*10^$G2)</f>
        <v>44548.101343753427</v>
      </c>
      <c r="K2" s="3">
        <v>7</v>
      </c>
      <c r="L2" s="4">
        <v>31.6227766016838</v>
      </c>
      <c r="M2" s="2" t="s">
        <v>79</v>
      </c>
      <c r="O2" s="3">
        <v>7</v>
      </c>
      <c r="P2" s="11">
        <f>10^O2</f>
        <v>10000000</v>
      </c>
    </row>
    <row r="3" spans="1:16" x14ac:dyDescent="0.25">
      <c r="A3" t="s">
        <v>72</v>
      </c>
      <c r="B3" s="7" t="s">
        <v>70</v>
      </c>
      <c r="C3" s="8">
        <v>5.7735026918962602E-2</v>
      </c>
      <c r="D3" s="7">
        <v>4</v>
      </c>
      <c r="E3" s="7">
        <v>5</v>
      </c>
      <c r="F3" s="7">
        <v>4</v>
      </c>
      <c r="G3" s="7">
        <v>5</v>
      </c>
      <c r="H3" s="9">
        <v>2655.8112382722798</v>
      </c>
      <c r="I3" s="10">
        <f t="shared" si="0"/>
        <v>2655.8112382722798</v>
      </c>
      <c r="K3" s="3">
        <v>6</v>
      </c>
      <c r="L3" s="4">
        <v>3.16227766016838</v>
      </c>
      <c r="M3" s="2" t="s">
        <v>80</v>
      </c>
      <c r="O3" s="3">
        <v>6</v>
      </c>
      <c r="P3" s="11">
        <f t="shared" ref="P3:P8" si="1">10^O3</f>
        <v>1000000</v>
      </c>
    </row>
    <row r="4" spans="1:16" x14ac:dyDescent="0.25">
      <c r="A4">
        <v>3</v>
      </c>
      <c r="B4" s="7" t="s">
        <v>36</v>
      </c>
      <c r="C4" s="8">
        <v>0.57735026918962595</v>
      </c>
      <c r="D4" s="7">
        <v>6</v>
      </c>
      <c r="E4" s="7">
        <v>4</v>
      </c>
      <c r="F4" s="7">
        <v>3</v>
      </c>
      <c r="G4" s="7">
        <v>4</v>
      </c>
      <c r="H4" s="9">
        <v>233364.97880644683</v>
      </c>
      <c r="I4" s="10">
        <f t="shared" si="0"/>
        <v>233364.97880644683</v>
      </c>
      <c r="K4" s="3">
        <v>5</v>
      </c>
      <c r="L4" s="4">
        <v>0.57735026918962595</v>
      </c>
      <c r="M4" s="2" t="s">
        <v>81</v>
      </c>
      <c r="O4" s="3">
        <v>5</v>
      </c>
      <c r="P4" s="11">
        <f t="shared" si="1"/>
        <v>100000</v>
      </c>
    </row>
    <row r="5" spans="1:16" ht="15" customHeight="1" x14ac:dyDescent="0.25">
      <c r="A5">
        <v>4</v>
      </c>
      <c r="B5" s="7" t="s">
        <v>38</v>
      </c>
      <c r="C5" s="8">
        <v>5.7735026918962602E-2</v>
      </c>
      <c r="D5" s="7">
        <v>5</v>
      </c>
      <c r="E5" s="7">
        <v>5</v>
      </c>
      <c r="F5" s="7">
        <v>5</v>
      </c>
      <c r="G5" s="7">
        <v>4</v>
      </c>
      <c r="H5" s="9">
        <v>4734.2722073549339</v>
      </c>
      <c r="I5" s="10">
        <f t="shared" si="0"/>
        <v>4734.2722073549339</v>
      </c>
      <c r="K5" s="3">
        <v>4</v>
      </c>
      <c r="L5" s="4">
        <v>0.182574185835055</v>
      </c>
      <c r="M5" s="2" t="s">
        <v>82</v>
      </c>
      <c r="O5" s="3">
        <v>4</v>
      </c>
      <c r="P5" s="11">
        <f t="shared" si="1"/>
        <v>10000</v>
      </c>
    </row>
    <row r="6" spans="1:16" x14ac:dyDescent="0.25">
      <c r="A6">
        <v>5</v>
      </c>
      <c r="B6" s="7" t="s">
        <v>39</v>
      </c>
      <c r="C6" s="8">
        <v>0.57735026918962595</v>
      </c>
      <c r="D6" s="7">
        <v>4</v>
      </c>
      <c r="E6" s="7">
        <v>4</v>
      </c>
      <c r="F6" s="7">
        <v>4</v>
      </c>
      <c r="G6" s="7">
        <v>4</v>
      </c>
      <c r="H6" s="9">
        <v>5773.5026918962594</v>
      </c>
      <c r="I6" s="10">
        <f t="shared" si="0"/>
        <v>5773.5026918962594</v>
      </c>
      <c r="K6" s="3">
        <v>3</v>
      </c>
      <c r="L6" s="4">
        <v>5.7735026918962602E-2</v>
      </c>
      <c r="M6" s="2" t="s">
        <v>83</v>
      </c>
      <c r="O6" s="3">
        <v>3</v>
      </c>
      <c r="P6" s="11">
        <f t="shared" si="1"/>
        <v>1000</v>
      </c>
    </row>
    <row r="7" spans="1:16" x14ac:dyDescent="0.25">
      <c r="A7">
        <v>6</v>
      </c>
      <c r="B7" s="7" t="s">
        <v>41</v>
      </c>
      <c r="C7" s="8">
        <v>5.7735026918962602E-2</v>
      </c>
      <c r="D7" s="7">
        <v>6</v>
      </c>
      <c r="E7" s="7">
        <v>1</v>
      </c>
      <c r="F7" s="7">
        <v>2</v>
      </c>
      <c r="G7" s="7">
        <v>3</v>
      </c>
      <c r="H7" s="9">
        <v>23106.827943561053</v>
      </c>
      <c r="I7" s="10">
        <f t="shared" si="0"/>
        <v>23106.827943561053</v>
      </c>
      <c r="K7" s="3">
        <v>2</v>
      </c>
      <c r="L7" s="4">
        <v>1.8257418583505498E-2</v>
      </c>
      <c r="M7" s="2" t="s">
        <v>84</v>
      </c>
      <c r="O7" s="3">
        <v>2</v>
      </c>
      <c r="P7" s="11">
        <f t="shared" si="1"/>
        <v>100</v>
      </c>
    </row>
    <row r="8" spans="1:16" x14ac:dyDescent="0.25">
      <c r="A8">
        <v>7</v>
      </c>
      <c r="B8" s="7" t="s">
        <v>46</v>
      </c>
      <c r="C8" s="8">
        <v>0.182574185835055</v>
      </c>
      <c r="D8" s="7">
        <v>4</v>
      </c>
      <c r="E8" s="7">
        <v>6</v>
      </c>
      <c r="F8" s="7">
        <v>5</v>
      </c>
      <c r="G8" s="7">
        <v>5</v>
      </c>
      <c r="H8" s="9">
        <v>44548.101343753427</v>
      </c>
      <c r="I8" s="10">
        <f t="shared" si="0"/>
        <v>44548.101343753427</v>
      </c>
      <c r="K8" s="3">
        <v>1</v>
      </c>
      <c r="L8" s="4">
        <v>5.4772255750516604E-3</v>
      </c>
      <c r="M8" s="2" t="s">
        <v>85</v>
      </c>
      <c r="O8" s="3">
        <v>1</v>
      </c>
      <c r="P8" s="11">
        <f t="shared" si="1"/>
        <v>10</v>
      </c>
    </row>
    <row r="9" spans="1:16" x14ac:dyDescent="0.25">
      <c r="A9">
        <v>9</v>
      </c>
      <c r="B9" s="7" t="s">
        <v>49</v>
      </c>
      <c r="C9" s="8">
        <v>0.182574185835055</v>
      </c>
      <c r="D9" s="7">
        <v>6</v>
      </c>
      <c r="E9" s="7">
        <v>4</v>
      </c>
      <c r="F9" s="7">
        <v>4</v>
      </c>
      <c r="G9" s="7">
        <v>3</v>
      </c>
      <c r="H9" s="9">
        <v>73796.485914529228</v>
      </c>
      <c r="I9" s="10">
        <f t="shared" si="0"/>
        <v>73796.485914529228</v>
      </c>
    </row>
    <row r="10" spans="1:16" x14ac:dyDescent="0.25">
      <c r="A10">
        <v>10</v>
      </c>
      <c r="B10" s="7" t="s">
        <v>53</v>
      </c>
      <c r="C10" s="8">
        <v>5.7735026918962602E-2</v>
      </c>
      <c r="D10" s="7">
        <v>5</v>
      </c>
      <c r="E10" s="7">
        <v>5</v>
      </c>
      <c r="F10" s="7">
        <v>5</v>
      </c>
      <c r="G10" s="7">
        <v>4</v>
      </c>
      <c r="H10" s="9">
        <v>4734.2722073549339</v>
      </c>
      <c r="I10" s="10">
        <f t="shared" si="0"/>
        <v>4734.2722073549339</v>
      </c>
      <c r="K10" s="96" t="s">
        <v>40</v>
      </c>
      <c r="L10" s="96"/>
    </row>
    <row r="11" spans="1:16" x14ac:dyDescent="0.25">
      <c r="A11">
        <v>11</v>
      </c>
      <c r="B11" s="7" t="s">
        <v>56</v>
      </c>
      <c r="C11" s="8">
        <v>5.7735026918962602E-2</v>
      </c>
      <c r="D11" s="7">
        <v>4</v>
      </c>
      <c r="E11" s="7">
        <v>3</v>
      </c>
      <c r="F11" s="7">
        <v>3</v>
      </c>
      <c r="G11" s="7">
        <v>2</v>
      </c>
      <c r="H11" s="9">
        <v>255.18881898181468</v>
      </c>
      <c r="I11" s="10">
        <f t="shared" si="0"/>
        <v>255.18881898181468</v>
      </c>
      <c r="K11" s="12">
        <v>0.4</v>
      </c>
      <c r="L11" s="2" t="s">
        <v>15</v>
      </c>
    </row>
    <row r="12" spans="1:16" x14ac:dyDescent="0.25">
      <c r="A12">
        <v>12</v>
      </c>
      <c r="B12" s="7" t="s">
        <v>57</v>
      </c>
      <c r="C12" s="8">
        <v>5.7735026918962602E-2</v>
      </c>
      <c r="D12" s="7">
        <v>6</v>
      </c>
      <c r="E12" s="7">
        <v>1</v>
      </c>
      <c r="F12" s="7">
        <v>2</v>
      </c>
      <c r="G12" s="7">
        <v>3</v>
      </c>
      <c r="H12" s="9">
        <v>23106.827943561053</v>
      </c>
      <c r="I12" s="10">
        <f t="shared" si="0"/>
        <v>23106.827943561053</v>
      </c>
      <c r="K12" s="12">
        <v>0.2</v>
      </c>
      <c r="L12" s="2" t="s">
        <v>16</v>
      </c>
    </row>
    <row r="13" spans="1:16" x14ac:dyDescent="0.25">
      <c r="A13">
        <v>13</v>
      </c>
      <c r="B13" s="7" t="s">
        <v>42</v>
      </c>
      <c r="C13" s="8">
        <v>5.7735026918962602E-2</v>
      </c>
      <c r="D13" s="7">
        <v>6</v>
      </c>
      <c r="E13" s="7">
        <v>2</v>
      </c>
      <c r="F13" s="7">
        <v>2</v>
      </c>
      <c r="G13" s="7">
        <v>3</v>
      </c>
      <c r="H13" s="9">
        <v>23107.867174045594</v>
      </c>
      <c r="I13" s="10">
        <f t="shared" si="0"/>
        <v>23107.867174045594</v>
      </c>
      <c r="K13" s="12">
        <v>0.2</v>
      </c>
      <c r="L13" s="2" t="s">
        <v>17</v>
      </c>
    </row>
    <row r="14" spans="1:16" ht="15" customHeight="1" x14ac:dyDescent="0.25">
      <c r="A14">
        <v>14</v>
      </c>
      <c r="B14" s="7" t="s">
        <v>47</v>
      </c>
      <c r="C14" s="8">
        <v>0.182574185835055</v>
      </c>
      <c r="D14" s="7">
        <v>6</v>
      </c>
      <c r="E14" s="7">
        <v>3</v>
      </c>
      <c r="F14" s="7">
        <v>3</v>
      </c>
      <c r="G14" s="7">
        <v>3</v>
      </c>
      <c r="H14" s="9">
        <v>73139.218845523035</v>
      </c>
      <c r="I14" s="10">
        <f t="shared" si="0"/>
        <v>73139.218845523035</v>
      </c>
      <c r="K14" s="12">
        <v>0.2</v>
      </c>
      <c r="L14" s="2" t="s">
        <v>0</v>
      </c>
    </row>
    <row r="15" spans="1:16" s="17" customFormat="1" x14ac:dyDescent="0.25">
      <c r="A15">
        <v>15</v>
      </c>
      <c r="B15" s="7" t="s">
        <v>48</v>
      </c>
      <c r="C15" s="8">
        <v>0.182574185835055</v>
      </c>
      <c r="D15" s="7">
        <v>4</v>
      </c>
      <c r="E15" s="7">
        <v>4</v>
      </c>
      <c r="F15" s="7">
        <v>5</v>
      </c>
      <c r="G15" s="7">
        <v>4</v>
      </c>
      <c r="H15" s="9">
        <v>5112.077203381541</v>
      </c>
      <c r="I15" s="10">
        <f t="shared" si="0"/>
        <v>5112.077203381541</v>
      </c>
    </row>
    <row r="16" spans="1:16" ht="15" customHeight="1" x14ac:dyDescent="0.25">
      <c r="A16">
        <v>16</v>
      </c>
      <c r="B16" s="7" t="s">
        <v>50</v>
      </c>
      <c r="C16" s="8">
        <v>1.8257418583505498E-2</v>
      </c>
      <c r="D16" s="7">
        <v>6</v>
      </c>
      <c r="E16" s="7">
        <v>7</v>
      </c>
      <c r="F16" s="7">
        <v>5</v>
      </c>
      <c r="G16" s="7">
        <v>5</v>
      </c>
      <c r="H16" s="9">
        <v>44548.10134375342</v>
      </c>
      <c r="I16" s="10">
        <f t="shared" si="0"/>
        <v>44548.10134375342</v>
      </c>
    </row>
    <row r="17" spans="1:9" x14ac:dyDescent="0.25">
      <c r="A17">
        <v>17</v>
      </c>
      <c r="B17" s="7" t="s">
        <v>51</v>
      </c>
      <c r="C17" s="8">
        <v>1.8257418583505498E-2</v>
      </c>
      <c r="D17" s="7">
        <v>6</v>
      </c>
      <c r="E17" s="7">
        <v>7</v>
      </c>
      <c r="F17" s="7">
        <v>5</v>
      </c>
      <c r="G17" s="7">
        <v>5</v>
      </c>
      <c r="H17" s="9">
        <v>44548.10134375342</v>
      </c>
      <c r="I17" s="10">
        <f t="shared" si="0"/>
        <v>44548.10134375342</v>
      </c>
    </row>
    <row r="18" spans="1:9" x14ac:dyDescent="0.25">
      <c r="A18">
        <v>18</v>
      </c>
      <c r="B18" s="7" t="s">
        <v>52</v>
      </c>
      <c r="C18" s="8">
        <v>5.7735026918962602E-2</v>
      </c>
      <c r="D18" s="7">
        <v>5</v>
      </c>
      <c r="E18" s="7">
        <v>3</v>
      </c>
      <c r="F18" s="7">
        <v>3</v>
      </c>
      <c r="G18" s="7">
        <v>3</v>
      </c>
      <c r="H18" s="9">
        <v>2344.0420929098818</v>
      </c>
      <c r="I18" s="10">
        <f t="shared" si="0"/>
        <v>2344.0420929098818</v>
      </c>
    </row>
    <row r="19" spans="1:9" x14ac:dyDescent="0.25">
      <c r="A19">
        <v>19</v>
      </c>
      <c r="B19" s="7" t="s">
        <v>71</v>
      </c>
      <c r="C19" s="8">
        <v>1.8257418583505498E-2</v>
      </c>
      <c r="D19" s="7">
        <v>6</v>
      </c>
      <c r="E19" s="7">
        <v>4</v>
      </c>
      <c r="F19" s="7">
        <v>3</v>
      </c>
      <c r="G19" s="7">
        <v>4</v>
      </c>
      <c r="H19" s="9">
        <v>7379.6485914529239</v>
      </c>
      <c r="I19" s="10">
        <f t="shared" si="0"/>
        <v>7379.6485914529239</v>
      </c>
    </row>
    <row r="20" spans="1:9" x14ac:dyDescent="0.25">
      <c r="A20" s="17">
        <v>20</v>
      </c>
      <c r="B20" s="18" t="s">
        <v>55</v>
      </c>
      <c r="C20" s="19">
        <f>IF('[2]Sensitivity Analysis'!$D$22=1,'[2]Sensitivity Analysis'!E12,'[2]Sensitivity Analysis'!D12)</f>
        <v>0.57735026918962595</v>
      </c>
      <c r="D20" s="18">
        <f>IF('[2]Sensitivity Analysis'!$D$22=1,'[2]Sensitivity Analysis'!E13,'[2]Sensitivity Analysis'!D13)</f>
        <v>7</v>
      </c>
      <c r="E20" s="18">
        <f>IF('[2]Sensitivity Analysis'!$D$22=1,'[2]Sensitivity Analysis'!E14,'[2]Sensitivity Analysis'!D14)</f>
        <v>6</v>
      </c>
      <c r="F20" s="18">
        <f>IF('[2]Sensitivity Analysis'!$D$22=1,'[2]Sensitivity Analysis'!E15,'[2]Sensitivity Analysis'!D15)</f>
        <v>5</v>
      </c>
      <c r="G20" s="18">
        <f>IF('[2]Sensitivity Analysis'!$D$22=1,'[2]Sensitivity Analysis'!E16,'[2]Sensitivity Analysis'!D16)</f>
        <v>6</v>
      </c>
      <c r="H20" s="20">
        <v>2551888.1898181466</v>
      </c>
      <c r="I20" s="21">
        <f t="shared" si="0"/>
        <v>2551888.1898181466</v>
      </c>
    </row>
    <row r="21" spans="1:9" x14ac:dyDescent="0.25">
      <c r="A21">
        <v>21</v>
      </c>
      <c r="B21" s="7" t="s">
        <v>31</v>
      </c>
      <c r="C21" s="8">
        <v>0.57735026918962595</v>
      </c>
      <c r="D21" s="7">
        <v>6</v>
      </c>
      <c r="E21" s="7">
        <v>4</v>
      </c>
      <c r="F21" s="7">
        <v>3</v>
      </c>
      <c r="G21" s="7">
        <v>4</v>
      </c>
      <c r="H21" s="9">
        <v>233364.97880644683</v>
      </c>
      <c r="I21" s="10">
        <f t="shared" si="0"/>
        <v>233364.97880644683</v>
      </c>
    </row>
    <row r="22" spans="1:9" x14ac:dyDescent="0.25">
      <c r="A22">
        <v>22</v>
      </c>
      <c r="B22" s="7" t="s">
        <v>32</v>
      </c>
      <c r="C22" s="8">
        <v>5.7735026918962602E-2</v>
      </c>
      <c r="D22" s="7">
        <v>6</v>
      </c>
      <c r="E22" s="7">
        <v>5</v>
      </c>
      <c r="F22" s="7">
        <v>5</v>
      </c>
      <c r="G22" s="7">
        <v>6</v>
      </c>
      <c r="H22" s="9">
        <v>36950.417228136066</v>
      </c>
      <c r="I22" s="10">
        <f t="shared" si="0"/>
        <v>36950.417228136066</v>
      </c>
    </row>
    <row r="23" spans="1:9" x14ac:dyDescent="0.25">
      <c r="A23">
        <v>23</v>
      </c>
      <c r="B23" s="7" t="s">
        <v>33</v>
      </c>
      <c r="C23" s="8">
        <v>5.7735026918962602E-2</v>
      </c>
      <c r="D23" s="7">
        <v>5</v>
      </c>
      <c r="E23" s="7">
        <v>3</v>
      </c>
      <c r="F23" s="7">
        <v>3</v>
      </c>
      <c r="G23" s="7">
        <v>3</v>
      </c>
      <c r="H23" s="9">
        <v>2344.0420929098818</v>
      </c>
      <c r="I23" s="10">
        <f t="shared" si="0"/>
        <v>2344.0420929098818</v>
      </c>
    </row>
    <row r="24" spans="1:9" x14ac:dyDescent="0.25">
      <c r="A24">
        <v>24</v>
      </c>
      <c r="B24" s="7" t="s">
        <v>34</v>
      </c>
      <c r="C24" s="8">
        <v>1.8257418583505498E-2</v>
      </c>
      <c r="D24" s="7">
        <v>5</v>
      </c>
      <c r="E24" s="7">
        <v>5</v>
      </c>
      <c r="F24" s="7">
        <v>5</v>
      </c>
      <c r="G24" s="7">
        <v>5</v>
      </c>
      <c r="H24" s="9">
        <v>1825.74185835055</v>
      </c>
      <c r="I24" s="10">
        <f t="shared" si="0"/>
        <v>1825.74185835055</v>
      </c>
    </row>
    <row r="25" spans="1:9" ht="15" customHeight="1" x14ac:dyDescent="0.25">
      <c r="A25">
        <v>25</v>
      </c>
      <c r="B25" s="7" t="s">
        <v>37</v>
      </c>
      <c r="C25" s="8">
        <v>5.7735026918962602E-2</v>
      </c>
      <c r="D25" s="7">
        <v>5</v>
      </c>
      <c r="E25" s="7">
        <v>6</v>
      </c>
      <c r="F25" s="7">
        <v>4</v>
      </c>
      <c r="G25" s="7">
        <v>4</v>
      </c>
      <c r="H25" s="9">
        <v>14087.346568226876</v>
      </c>
      <c r="I25" s="10">
        <f t="shared" si="0"/>
        <v>14087.346568226876</v>
      </c>
    </row>
    <row r="26" spans="1:9" s="22" customFormat="1" x14ac:dyDescent="0.25">
      <c r="A26">
        <v>26</v>
      </c>
      <c r="B26" s="7" t="s">
        <v>43</v>
      </c>
      <c r="C26" s="8">
        <v>0.57735026918962595</v>
      </c>
      <c r="D26" s="7">
        <v>6</v>
      </c>
      <c r="E26" s="7">
        <v>4</v>
      </c>
      <c r="F26" s="7">
        <v>3</v>
      </c>
      <c r="G26" s="7">
        <v>4</v>
      </c>
      <c r="H26" s="9">
        <v>233364.97880644683</v>
      </c>
      <c r="I26" s="10">
        <f t="shared" si="0"/>
        <v>233364.97880644683</v>
      </c>
    </row>
    <row r="27" spans="1:9" s="17" customFormat="1" x14ac:dyDescent="0.25">
      <c r="A27">
        <v>27</v>
      </c>
      <c r="B27" s="7" t="s">
        <v>44</v>
      </c>
      <c r="C27" s="8">
        <v>1.8257418583505498E-2</v>
      </c>
      <c r="D27" s="7">
        <v>6</v>
      </c>
      <c r="E27" s="7">
        <v>4</v>
      </c>
      <c r="F27" s="7">
        <v>5</v>
      </c>
      <c r="G27" s="7">
        <v>6</v>
      </c>
      <c r="H27" s="9">
        <v>11356.11435894042</v>
      </c>
      <c r="I27" s="10">
        <f t="shared" si="0"/>
        <v>11356.11435894042</v>
      </c>
    </row>
    <row r="28" spans="1:9" ht="15" customHeight="1" x14ac:dyDescent="0.25">
      <c r="A28" s="17">
        <v>28</v>
      </c>
      <c r="B28" s="18" t="s">
        <v>45</v>
      </c>
      <c r="C28" s="19">
        <f>IF('[2]Sensitivity Analysis'!$D$21=1,'[2]Sensitivity Analysis'!E5,'[2]Sensitivity Analysis'!D5)</f>
        <v>5.7735026918962602E-2</v>
      </c>
      <c r="D28" s="18">
        <f>IF('[2]Sensitivity Analysis'!$D$21=1,'[2]Sensitivity Analysis'!E6,'[2]Sensitivity Analysis'!D6)</f>
        <v>5</v>
      </c>
      <c r="E28" s="18">
        <f>IF('[2]Sensitivity Analysis'!$D$21=1,'[2]Sensitivity Analysis'!E7,'[2]Sensitivity Analysis'!D7)</f>
        <v>3</v>
      </c>
      <c r="F28" s="18">
        <f>IF('[2]Sensitivity Analysis'!$D$21=1,'[2]Sensitivity Analysis'!E8,'[2]Sensitivity Analysis'!D8)</f>
        <v>3</v>
      </c>
      <c r="G28" s="18">
        <f>IF('[2]Sensitivity Analysis'!$D$21=1,'[2]Sensitivity Analysis'!E9,'[2]Sensitivity Analysis'!D9)</f>
        <v>3</v>
      </c>
      <c r="H28" s="20">
        <v>2344.04209290988</v>
      </c>
      <c r="I28" s="21">
        <f t="shared" si="0"/>
        <v>2344.0420929098818</v>
      </c>
    </row>
    <row r="29" spans="1:9" x14ac:dyDescent="0.25">
      <c r="A29" s="22"/>
      <c r="B29" s="13" t="s">
        <v>54</v>
      </c>
      <c r="C29" s="14">
        <v>5.7735026918962602E-2</v>
      </c>
      <c r="D29" s="13">
        <v>4</v>
      </c>
      <c r="E29" s="13">
        <v>1</v>
      </c>
      <c r="F29" s="13">
        <v>5</v>
      </c>
      <c r="G29" s="13">
        <v>4</v>
      </c>
      <c r="H29" s="15">
        <v>1501.2261699468656</v>
      </c>
      <c r="I29" s="16">
        <f t="shared" si="0"/>
        <v>1501.2261699468656</v>
      </c>
    </row>
    <row r="37" ht="15" customHeight="1" x14ac:dyDescent="0.25"/>
    <row r="39" ht="15" customHeight="1" x14ac:dyDescent="0.25"/>
    <row r="48" ht="15" customHeight="1" x14ac:dyDescent="0.25"/>
  </sheetData>
  <sheetProtection algorithmName="SHA-512" hashValue="pKNPiJFWqfR7z/0os85ULLng2y8PKnfZpgM8QH0UHlwzfeawR//l6DkLgrWAC3lHQYGjSYHVB/usYvYZR5T+gg==" saltValue="tdrrUr7pQOdpKKxjs73Odw==" spinCount="100000" sheet="1" objects="1" scenarios="1"/>
  <sortState ref="A2:I28">
    <sortCondition ref="A2"/>
  </sortState>
  <mergeCells count="3">
    <mergeCell ref="K1:L1"/>
    <mergeCell ref="O1:P1"/>
    <mergeCell ref="K10:L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2" ma:contentTypeDescription="Create a new document." ma:contentTypeScope="" ma:versionID="bd3593010a512bd2aa90b0c20cf1f5f4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4c5c5e0f3adf1f87f277ab198cdd28fa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45F653-70D2-4A86-A2D8-D39F18C459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6C25E2-B3F5-4F47-BCAF-8D1E7A9F42BC}">
  <ds:schemaRefs>
    <ds:schemaRef ds:uri="http://purl.org/dc/dcmitype/"/>
    <ds:schemaRef ds:uri="http://purl.org/dc/elements/1.1/"/>
    <ds:schemaRef ds:uri="c9707976-b9a4-4d64-b46b-225405a11850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9952B67-2F10-42BE-B81C-BF70900390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Electric Disturbance Event 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2016-10-25T18:53:59Z</cp:lastPrinted>
  <dcterms:created xsi:type="dcterms:W3CDTF">2015-11-11T19:37:07Z</dcterms:created>
  <dcterms:modified xsi:type="dcterms:W3CDTF">2017-01-11T22:03:46Z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